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ARR_Bridge" sheetId="12" state="visible" r:id="rId14"/>
    <sheet name="Cohorts" sheetId="13" state="visible" r:id="rId15"/>
    <sheet name="Unit_Economics" sheetId="14" state="visible" r:id="rId16"/>
    <sheet name="Billings" sheetId="15" state="visible" r:id="rId17"/>
    <sheet name="Subscriptions" sheetId="16" state="visible" r:id="rId18"/>
    <sheet name="Enterprise" sheetId="17" state="visible" r:id="rId19"/>
    <sheet name="New_Business" sheetId="18" state="visible" r:id="rId20"/>
    <sheet name="People" sheetId="19" state="visible" r:id="rId21"/>
    <sheet name="Capitalised_Costs" sheetId="20" state="visible" r:id="rId22"/>
    <sheet name="Receivables" sheetId="21" state="visible" r:id="rId23"/>
    <sheet name="AR_Aging" sheetId="22" state="visible" r:id="rId24"/>
    <sheet name="AP_Aging" sheetId="23" state="visible" r:id="rId25"/>
    <sheet name="Payables" sheetId="24" state="visible" r:id="rId26"/>
    <sheet name="VAT" sheetId="25" state="visible" r:id="rId27"/>
    <sheet name="Tax" sheetId="26" state="visible" r:id="rId28"/>
    <sheet name="Overheads" sheetId="27" state="visible" r:id="rId29"/>
    <sheet name="Fixed_Assets" sheetId="28" state="visible" r:id="rId30"/>
    <sheet name="Financing" sheetId="29" state="visible" r:id="rId31"/>
    <sheet name="Account_Register" sheetId="30" state="visible" r:id="rId32"/>
    <sheet name="Assumptions" sheetId="31" state="visible" r:id="rId33"/>
    <sheet name="Inputs_Actuals" sheetId="32" state="visible" r:id="rId34"/>
    <sheet name="History" sheetId="33" state="visible" r:id="rId35"/>
    <sheet name="Budget_FY26" sheetId="34" state="visible" r:id="rId3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<sst xmlns="http://schemas.openxmlformats.org/spreadsheetml/2006/main" count="4517" uniqueCount="2260">
  <si>
    <t xml:space="preserve">FINANCIAL MODEL AND MONTHLY REPORTING PACK</t>
  </si>
  <si>
    <t xml:space="preserve">SaaS demonstration: restaurant, hotel and retail operations software sold from Valencia to customers in Spain and the rest of Europe</t>
  </si>
  <si>
    <t xml:space="preserve">FICTIONAL DEMONSTRATION. Turnoval Software S.L. does not exist. Every name, customer, account, supplier, lender, invoice and balance in this workbook was generated for demonstration purposes and does not describe any real company, customer or person. Tax, social security and filing rules reflect published Spanish rules as at September 2026. Prepared by BriQs Group to show the structure, depth and controls of a monthly finance pack.</t>
  </si>
  <si>
    <t xml:space="preserve">Reporting month (last actual)</t>
  </si>
  <si>
    <t xml:space="preserve">Forecast horizon</t>
  </si>
  <si>
    <t xml:space="preserve">Currency</t>
  </si>
  <si>
    <t xml:space="preserve">EUR (every customer invoiced in EUR)</t>
  </si>
  <si>
    <t xml:space="preserve">Model status (all integrity checks)</t>
  </si>
  <si>
    <t xml:space="preserve">ARR at the last actual month</t>
  </si>
  <si>
    <t xml:space="preserve">Net revenue retention, trailing 12 months</t>
  </si>
  <si>
    <t xml:space="preserve">FY2026 revenue, outlook</t>
  </si>
  <si>
    <t xml:space="preserve">FY2026 EBITDA, outlook</t>
  </si>
  <si>
    <t xml:space="preserve">Cash at the last actual month</t>
  </si>
  <si>
    <t xml:space="preserve">13-week cash low point</t>
  </si>
  <si>
    <t xml:space="preserve">Prepared by</t>
  </si>
  <si>
    <t xml:space="preserve">BriQs Group, outsourced finance department and fractional CFO (ACCA-qualified accountant,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</si>
  <si>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</si>
  <si>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</si>
  <si>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</si>
  <si>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</si>
  <si>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</si>
  <si>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</si>
  <si>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</si>
  <si>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revenue recognition, subscription metrics, Spanish tax and payroll mechanics, conventions, month-end procedure, information still needed</t>
  </si>
  <si>
    <t xml:space="preserve">Checks</t>
  </si>
  <si>
    <t xml:space="preserve">Every integrity check with live status; overall status and business warnings</t>
  </si>
  <si>
    <t xml:space="preserve">Control</t>
  </si>
  <si>
    <t xml:space="preserve">CFO_Report</t>
  </si>
  <si>
    <t xml:space="preserve">Quantified findings, scored risks, actions with owners and dates</t>
  </si>
  <si>
    <t xml:space="preserve">KPIs</t>
  </si>
  <si>
    <t xml:space="preserve">ARR, retention, margins, efficiency, billings, cash and covenant by month, with charts</t>
  </si>
  <si>
    <t xml:space="preserve">PL</t>
  </si>
  <si>
    <t xml:space="preserve">Monthly P&amp;L: revenue by segment, cost of revenue, gross profit, EBITDA, functional view</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</si>
  <si>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</si>
  <si>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</si>
  <si>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</si>
  <si>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</si>
  <si>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</si>
  <si>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</si>
  <si>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revenue variance by MRR movement; EBITDA walk</t>
  </si>
  <si>
    <t xml:space="preserve">Analysis</t>
  </si>
  <si>
    <t xml:space="preserve">Scenarios</t>
  </si>
  <si>
    <t xml:space="preserve">Base, downside and upside with live selected column</t>
  </si>
  <si>
    <t xml:space="preserve">Cash_13W</t>
  </si>
  <si>
    <t xml:space="preserve">13-week direct cash forecast: payroll, social security, tax and VAT dates, debt service, covenant control, reconciliation</t>
  </si>
  <si>
    <t xml:space="preserve">ARR_Bridge</t>
  </si>
  <si>
    <t xml:space="preserve">MRR and ARR bridge by segment, customers, ARPA, NRR and GRR (trailing 12 months)</t>
  </si>
  <si>
    <t xml:space="preserve">Cohorts</t>
  </si>
  <si>
    <t xml:space="preserve">Logo and revenue cohorts by acquisition quarter, 2024 to 2027, with retention triangles</t>
  </si>
  <si>
    <t xml:space="preserve">Unit_Economics</t>
  </si>
  <si>
    <t xml:space="preserve">CAC, payback, LTV, burn multiple, Rule of 40, ARR per employee, runway</t>
  </si>
  <si>
    <t xml:space="preserve">Billings</t>
  </si>
  <si>
    <t xml:space="preserve">Billings vs revenue, deferred revenue roll-forward and contract schedule, onboarding fees, output VAT</t>
  </si>
  <si>
    <t xml:space="preserve">Schedule</t>
  </si>
  <si>
    <t xml:space="preserve">Subscriptions</t>
  </si>
  <si>
    <t xml:space="preserve">Essentials and Professional by monthly cohort: MRR, customers, bridges, Professional billing schedule</t>
  </si>
  <si>
    <t xml:space="preserve">Enterprise</t>
  </si>
  <si>
    <t xml:space="preserve">Enterprise accounts, pipeline and accounts not yet identified: MRR, customers, billing, bridge</t>
  </si>
  <si>
    <t xml:space="preserve">New_Business</t>
  </si>
  <si>
    <t xml:space="preserve">New customers, new MRR, onboarding fees and the commission base</t>
  </si>
  <si>
    <t xml:space="preserve">People</t>
  </si>
  <si>
    <t xml:space="preserve">Headcount by band, payroll in 14 instalments, social security, IRPF, commissions, severance</t>
  </si>
  <si>
    <t xml:space="preserve">Capitalised_Costs</t>
  </si>
  <si>
    <t xml:space="preserve">Capitalised development (IAS 38) and capitalised commissions (IFRS 15.91)</t>
  </si>
  <si>
    <t xml:space="preserve">Receivables</t>
  </si>
  <si>
    <t xml:space="preserve">Card charges and payouts, Professional and Enterprise receivables, credit losses, debtor days</t>
  </si>
  <si>
    <t xml:space="preserve">AR_Aging</t>
  </si>
  <si>
    <t xml:space="preserve">Aged receivables tied to the ledger</t>
  </si>
  <si>
    <t xml:space="preserve">AP_Aging</t>
  </si>
  <si>
    <t xml:space="preserve">Aged payables tied to the Payables schedule</t>
  </si>
  <si>
    <t xml:space="preserve">Payables</t>
  </si>
  <si>
    <t xml:space="preserve">Cloud and software, paid media, Spanish suppliers</t>
  </si>
  <si>
    <t xml:space="preserve">VAT</t>
  </si>
  <si>
    <t xml:space="preserve">Monthly VAT position, quarterly returns in 2026, monthly returns and SII from 2027 if a large company</t>
  </si>
  <si>
    <t xml:space="preserve">Tax</t>
  </si>
  <si>
    <t xml:space="preserve">IRPF and rent withholding (modelos 111 and 115), corporate income tax with tax losses</t>
  </si>
  <si>
    <t xml:space="preserve">Overheads</t>
  </si>
  <si>
    <t xml:space="preserve">Overhead lines with VAT class and rent withholding</t>
  </si>
  <si>
    <t xml:space="preserve">Fixed_Assets</t>
  </si>
  <si>
    <t xml:space="preserve">IT equipment and office fit-out</t>
  </si>
  <si>
    <t xml:space="preserve">Financing</t>
  </si>
  <si>
    <t xml:space="preserve">Venture debt, covenant headroom</t>
  </si>
  <si>
    <t xml:space="preserve">Account_Register</t>
  </si>
  <si>
    <t xml:space="preserve">Enterprise accounts and pipeline: terms, renewal and win probabilities, revenue and share</t>
  </si>
  <si>
    <t xml:space="preserve">Inputs</t>
  </si>
  <si>
    <t xml:space="preserve">Assumptions</t>
  </si>
  <si>
    <t xml:space="preserve">Tax and social security rates, pay bands, revenue drivers, overheads, timeline and scenario drivers</t>
  </si>
  <si>
    <t xml:space="preserve">Inputs_Actuals</t>
  </si>
  <si>
    <t xml:space="preserve">Actual months and opening balances; the only place actual data is typed</t>
  </si>
  <si>
    <t xml:space="preserve">History</t>
  </si>
  <si>
    <t xml:space="preserve">FY2025 by month, the subscription book at 31-Dec-25 and quarterly cohorts 2024 to 2025</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</si>
  <si>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</si>
  <si>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</si>
  <si>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</si>
  <si>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</si>
  <si>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</si>
  <si>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</si>
  <si>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</si>
  <si>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(row 5 flag F)</t>
  </si>
  <si>
    <t xml:space="preserve">MODEL GUIDE</t>
  </si>
  <si>
    <t xml:space="preserve">PURPOSE</t>
  </si>
  <si>
    <t xml:space="preserve">An integrated monthly finance pack for a founder-led SaaS company in Valencia selling operations software to restaurants, hotels and retailers in three segments: Essentials (self-serve, monthly card billing), Professional (annual contracts paid in advance) and Enterprise (named accounts on annual contracts). It closes the month into a three-statement pack, runs the subscription book cohort by cohort, bridges MRR and ARR, measures retention, cohorts and unit economics, keeps billings, deferred revenue and cash apart, forecasts under three scenarios, projects cash week by week for 13 weeks against the venture debt covenant and reports to the board with quantified findings.</t>
  </si>
  <si>
    <t xml:space="preserve">Every number traces back: statement line to schedule, schedule to cohort, account or input, input to the document that evidences it in a real close (billing system export, sales ledger, payment processor statement, payroll, VAT and withholding returns, loan statement, bank statement).</t>
  </si>
  <si>
    <t xml:space="preserve">HOW THE MODEL FLOWS</t>
  </si>
  <si>
    <t xml:space="preserve">1. Inputs_Actuals holds the actual months (MRR and customers by cohort and account, MRR movements, fees, receipts, payroll by department, overheads, payments) and the opening balance sheet. History holds FY2025 by month, the subscription book at 31-Dec-25 by cohort and the quarterly cohorts of 2024 and 2025. The Account_Register holds every Enterprise account and pipeline deal with renewal and win probabilities by scenario. Assumptions holds tax and social security rates, pay bands, revenue drivers, overheads, the timeline and the scenario drivers (selector in C11).</t>
  </si>
  <si>
    <t xml:space="preserve">2. Subscriptions runs Essentials and Professional by monthly cohort: Essentials cohorts lose MRR and customers at the churn rate for their age and gain expansion every month; Professional cohorts renew on their anniversary with churn, downsell, price uplift and location growth, and add locations in the year pro rata. Enterprise renews each account on its anniversary at its renewal probability, starts pipeline deals at their win probability and adds a labelled run-rate of accounts not yet identified. New_Business feeds the new cohorts.</t>
  </si>
  <si>
    <t xml:space="preserve">3. ARR_Bridge consolidates the segments and computes retention. Billings turns MRR into billings, revenue, deferred revenue and output VAT. Receivables, People, Capitalised_Costs, Overheads, Payables, VAT, Tax, Fixed_Assets and Financing roll every cost and balance. PL, BS and CF link only to schedules; CF is built indirectly and reconciled every month to a direct build of the schedule cash lines.</t>
  </si>
  <si>
    <t xml:space="preserve">4. BvA, Scenarios, Cash_13W, Cohorts, Unit_Economics, KPIs, the agings and CFO_Report are reporting layers; Checks proves the structure holds.</t>
  </si>
  <si>
    <t xml:space="preserve">REVENUE RECOGNITION AND DEFERRED REVENUE (IFRS 15)</t>
  </si>
  <si>
    <t xml:space="preserve">Subscriptions are a service delivered evenly over the contract term: revenue in a month equals the MRR of that month. Essentials is charged monthly in advance by card. Professional and Enterprise are invoiced annually in advance at the start and at each renewal; the unearned part sits in deferred revenue (a contract liability) and is released month by month. Locations added during the year are invoiced pro rata to the anniversary.</t>
  </si>
  <si>
    <t xml:space="preserve">The deferred revenue roll-forward (opening + invoiced - earned) is checked every month against an independent contract schedule: the MRR of every cohort and account times its unexpired prepaid months.</t>
  </si>
  <si>
    <t xml:space="preserve">Onboarding fees are not a distinct service (the customer cannot benefit from the set-up on its own), so they are recognised over 12 months from the start of the subscription (IFRS 15.B48 to B51) and carry their own deferred balance and schedule.</t>
  </si>
  <si>
    <t xml:space="preserve">Commissions and the employer social security on them are incremental costs of obtaining a contract: capitalised and amortised over the 48-month expected customer life (IFRS 15.91 to 15.99); Spanish GAAP charges them to profit or loss in the same systematic way (ICAC resolution of 10 February 2021, art. 21). Development on new modules that meets IAS 38.57 is capitalised from engineering time records and amortised over 36 months.</t>
  </si>
  <si>
    <t xml:space="preserve">SUBSCRIPTION METRICS</t>
  </si>
  <si>
    <t xml:space="preserve">MRR = monthly recurring revenue of live contracts; ARR = 12 x MRR. The MRR bridge splits every month into new customers, expansion, price, contraction and churn; churn and contraction are negative.</t>
  </si>
  <si>
    <t xml:space="preserve">Net revenue retention (NRR), trailing 12 months, bridge method = (MRR a year ago + expansion + price - contraction - churn over the 12 months) / MRR a year ago. Gross revenue retention (GRR) excludes expansion and price. FY2025 months come from History.</t>
  </si>
  <si>
    <t xml:space="preserve">CAC = sales and marketing spend (payroll, programmes and commissions earned) per new customer, trailing three months. CAC payback = that spend / ((new + expansion MRR) x gross margin). LTV = ARPA x gross margin / monthly gross MRR churn. Burn multiple = net burn / net new ARR, trailing 12 months. Rule of 40 = ARR growth year on year + EBITDA margin, trailing 12 months.</t>
  </si>
  <si>
    <t xml:space="preserve">Cohorts group every customer by acquisition quarter across all segments; the retention triangles divide each quarter end by the cohort at its first quarter end.</t>
  </si>
  <si>
    <t xml:space="preserve">SPANISH TAX AND PAYROLL MECHANICS MODELLED</t>
  </si>
  <si>
    <t xml:space="preserve">VAT (IVA) 21% on customers in Spain (AEAT; Ley 37/1992 art. 90). Subscriptions sold to businesses in other EU states are reverse charged by the customer and reported in the modelo 349; to the United Kingdom they are outside the scope. Services bought from suppliers not established in Spain are self-assessed in the modelo 303. Returns (303, 111, 115) are quarterly, due 1 to 20 April, July and October, the fourth quarter by 30 January (303) or 20 January (111, 115).</t>
  </si>
  <si>
    <t xml:space="preserve">Large company (gran empresa): a volume of operations above EUR 6,010,121.04 in the prior year makes the VAT and withholding returns monthly and the SII (invoices reported to the tax agency within four days) mandatory from the next 1 January; services not subject to Spanish VAT under the place-of-supply rules count towards the volume (AEAT). The model tests the FY2026 billings against the threshold and switches the 2027 calendar.</t>
  </si>
  <si>
    <t xml:space="preserve">Corporate income tax: 23% in FY2026 and 22% in FY2027 for an entity of reduced size (turnover below EUR 10m; Ley 7/2024 via AEAT). Tax losses brought forward offset up to 70% of the base, with EUR 1m always allowed and no time limit (Ley 27/2014 art. 26). Payments on account (modelo 202) nil while no tax has been assessed; the annual return by 25 July. Rent withholding 19% (modelo 115).</t>
  </si>
  <si>
    <t xml:space="preserve">Payroll 2026 (Orden PJC/297/2026): common contingencies 23.60% employer and 4.70% employee, intergenerational equity (MEI) 0.75% and 0.15%, unemployment 5.50% and 1.55% on permanent contracts, FOGASA 0.20%, vocational training 0.60% and 0.10%, plus the AT/EP premium (1.50% assumed), on a monthly base up to EUR 5,101.20 that includes the pro rata of the two extra payments; the solidarity contribution applies to pay above the maximum base. Salaries are paid in 14 instalments with the extra payments in June and December (Estatuto de los Trabajadores art. 31); social security is paid the following month; IRPF withheld goes on the modelo 111. 2027 rates and the 2027 maximum base are assumptions until the 2027 order is published.</t>
  </si>
  <si>
    <t xml:space="preserve">Severance on an objective dismissal: 20 days of salary per year of service, capped at 12 months (Estatuto de los Trabajadores art. 53.1.b). Ten or more dismissals in 90 days in a company below 100 staff require the collective procedure (art. 51.1); the Downside reduction of eight roles stays below it.</t>
  </si>
  <si>
    <t xml:space="preserve">CONVENTIONS</t>
  </si>
  <si>
    <t xml:space="preserve">Revenue and receipts positive; costs, payments and deductions negative on the P&amp;L and cash flow. Schedules show movements with their natural sign and a closing line.</t>
  </si>
  <si>
    <t xml:space="preserve">Blue on yellow = input; black = formula; green = link from another sheet. Columns C and D on monthly sheets are FY2026 and FY2027 totals (sum, average or closing balance as labelled).</t>
  </si>
  <si>
    <t xml:space="preserve">Row 5 of every monthly sheet flags A (actual) or F (forecast); formulas switch on it, so nothing is overwritten when a month becomes actual.</t>
  </si>
  <si>
    <t xml:space="preserve">Enterprise renewals, pipeline deals and accounts not yet identified are expected values: MRR, billing, fees and cash are all scaled by the probability of the selected scenario, so customer counts can be fractional.</t>
  </si>
  <si>
    <t xml:space="preserve">MONTH-END PROCEDURE (adding September as an actual month)</t>
  </si>
  <si>
    <t xml:space="preserve">1. Export the billing system at the month end: MRR and customers by cohort and by Enterprise account, and the MRR movements by segment (new, expansion, price, contraction, churn). Enter them with the fees invoiced, card payouts and fees, receipts, write-offs, payroll by department, headcount by band, commissions, capitalised development, overheads, capex and payments.</t>
  </si>
  <si>
    <t xml:space="preserve">2. Change the last actual month on Assumptions to Sep-26. Flags, the agings, the 13-week opening and the year-to-date references follow from that cell.</t>
  </si>
  <si>
    <t xml:space="preserve">3. Update the Account_Register: renewals signed or lost, pipeline won or lost, probabilities and start months.</t>
  </si>
  <si>
    <t xml:space="preserve">4. Refresh the AR and AP agings from the ledger listings; the tie-out rows must return zero. Roll the 13-week window forward one month.</t>
  </si>
  <si>
    <t xml:space="preserve">5. Refresh the scenario snapshots, reread Checks until the overall status is OK, then rewrite the CFO report findings against the new numbers.</t>
  </si>
  <si>
    <t xml:space="preserve">SCENARIO REFRESH</t>
  </si>
  <si>
    <t xml:space="preserve">Set Assumptions!C11 to 1 (Base), 2 (Downside) and 3 (Upside) in turn. After each recalculation copy Scenarios column F and paste values into C, D or E. The check column confirms the snapshot for the selected scenario matches the live model.</t>
  </si>
  <si>
    <t xml:space="preserve">KNOWN SIMPLIFICATIONS</t>
  </si>
  <si>
    <t xml:space="preserve">Churn, expansion and renewal rates are applied as rates to cohort balances; a live build replaces them each month with the billing system export by customer.</t>
  </si>
  <si>
    <t xml:space="preserve">Salaries are band averages and every band sits wholly on one side of the maximum contribution base. Social security on commissions is charged at the full rate without the cap. Leavers take their accrued extra payments at the next June or December payroll rather than in their final settlement.</t>
  </si>
  <si>
    <t xml:space="preserve">Receipts from Professional and Enterprise customers follow the collection days on the amounts invoiced; the Brandelo dispute is modelled as a single collection month and share.</t>
  </si>
  <si>
    <t xml:space="preserve">Tax is charged on the year-to-date profit; no deferred tax asset is recognised on the tax losses. The office lease is expensed as rent, as in the statutory accounts (IFRS 16 not applied). No Spanish R&amp;D tax credit is modelled.</t>
  </si>
  <si>
    <t xml:space="preserve">INFORMATION NEEDED TO CONVERT THIS INTO A CLIENT BUILD</t>
  </si>
  <si>
    <t xml:space="preserve">Billing system exports by customer and month for FY2024 to FY2026: plan, locations, MRR, invoices, renewals, cancellations and credit notes.</t>
  </si>
  <si>
    <t xml:space="preserve">Enterprise contracts with renewal dates, notice periods, indexation clauses and termination rights; the CRM pipeline with stages and close dates.</t>
  </si>
  <si>
    <t xml:space="preserve">Payroll register by person with contract type, contribution group and IRPF rate; the 2027 pay review; the AT/EP rate for the company activity code from the mutua.</t>
  </si>
  <si>
    <t xml:space="preserve">Engineering time records supporting the IAS 38 capitalisation; the commission plan and statements; the loan agreement and covenant certificates.</t>
  </si>
  <si>
    <t xml:space="preserve">Technical reports and any certification for Spanish R&amp;D and innovation tax credits (LIS art. 35), which the model does not include.</t>
  </si>
  <si>
    <t xml:space="preserve">MODEL INTEGRITY CHECKS</t>
  </si>
  <si>
    <t xml:space="preserve">Every check is a live formula. A value of zero (or at least zero where a minimum is tested) returns OK. The overall status shows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</si>
  <si>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</si>
  <si>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</si>
  <si>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</si>
  <si>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</si>
  <si>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</si>
  <si>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</si>
  <si>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</si>
  <si>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</si>
  <si>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every month</t>
  </si>
  <si>
    <t xml:space="preserve">P&amp;L and balance sheet movements equal the sum of the schedule cash lines</t>
  </si>
  <si>
    <t xml:space="preserve">Closing cash on the cash flow equals balance sheet cash</t>
  </si>
  <si>
    <t xml:space="preserve">Link integrity</t>
  </si>
  <si>
    <t xml:space="preserve">Accumulated losses roll: closing = opening + net result</t>
  </si>
  <si>
    <t xml:space="preserve">Equity roll-forward to Dec-27</t>
  </si>
  <si>
    <t xml:space="preserve">EBITDA on the cash flow equals the P&amp;L</t>
  </si>
  <si>
    <t xml:space="preserve">Add-backs complete</t>
  </si>
  <si>
    <t xml:space="preserve">Opening balance sheet at 31-Dec-25 balances</t>
  </si>
  <si>
    <t xml:space="preserve">FY2025 closing balances on Inputs_Actuals</t>
  </si>
  <si>
    <t xml:space="preserve">SUBSCRIPTIONS, BILLINGS AND DEFERRED REVENUE</t>
  </si>
  <si>
    <t xml:space="preserve">Essentials MRR bridge closes to the cohort total, every month</t>
  </si>
  <si>
    <t xml:space="preserve">New, churn, expansion, contraction and price explain every euro of MRR</t>
  </si>
  <si>
    <t xml:space="preserve">Essentials customer bridge closes to the cohort total, every month</t>
  </si>
  <si>
    <t xml:space="preserve">Professional MRR bridge closes to the cohort total, every month</t>
  </si>
  <si>
    <t xml:space="preserve">Renewal effects on the anniversary plus in-term add-ons</t>
  </si>
  <si>
    <t xml:space="preserve">Professional customer bridge closes to the cohort total, every month</t>
  </si>
  <si>
    <t xml:space="preserve">Enterprise MRR bridge closes to the account total, every month</t>
  </si>
  <si>
    <t xml:space="preserve">Renewals at probability, pipeline and accounts not yet identified</t>
  </si>
  <si>
    <t xml:space="preserve">Enterprise account bridge closes to the account total, every month</t>
  </si>
  <si>
    <t xml:space="preserve">Subscription revenue equals MRR, every month</t>
  </si>
  <si>
    <t xml:space="preserve">Ratable recognition of every subscription</t>
  </si>
  <si>
    <t xml:space="preserve">Deferred revenue roll-forward equals the contract schedule, every month</t>
  </si>
  <si>
    <t xml:space="preserve">MRR x unexpired prepaid months, by cohort and account</t>
  </si>
  <si>
    <t xml:space="preserve">Opening deferred revenue equals the contract schedule at 31-Dec-25</t>
  </si>
  <si>
    <t xml:space="preserve">FY2025 accounts agree with the subscription book</t>
  </si>
  <si>
    <t xml:space="preserve">Deferred onboarding fees equal the fee schedule, every month</t>
  </si>
  <si>
    <t xml:space="preserve">Fees x unexpired months / 12</t>
  </si>
  <si>
    <t xml:space="preserve">Opening deferred onboarding fees equal the FY2025 fee schedule</t>
  </si>
  <si>
    <t xml:space="preserve">Cohort triangles add up to total MRR and customers at every 2026 to 2027 quarter end</t>
  </si>
  <si>
    <t xml:space="preserve">Every cohort line and account is in exactly one acquisition quarter</t>
  </si>
  <si>
    <t xml:space="preserve">History: quarterly totals for 2025 agree with the monthly history</t>
  </si>
  <si>
    <t xml:space="preserve">Two billing system extracts tie</t>
  </si>
  <si>
    <t xml:space="preserve">PEOPLE AND CAPITALISED COSTS</t>
  </si>
  <si>
    <t xml:space="preserve">Salaries accrued equal regular pay plus extra payments accrued, every month</t>
  </si>
  <si>
    <t xml:space="preserve">No payroll cost without a cash or liability counterpart</t>
  </si>
  <si>
    <t xml:space="preserve">Accrued extra payments are nil after the June and December payrolls</t>
  </si>
  <si>
    <t xml:space="preserve">Extra payments paid equal six months of accruals</t>
  </si>
  <si>
    <t xml:space="preserve">Social security payable at each forecast month end equals the contributions of that month</t>
  </si>
  <si>
    <t xml:space="preserve">Paid the following month</t>
  </si>
  <si>
    <t xml:space="preserve">Commissions payable equal the commissions earned in the month</t>
  </si>
  <si>
    <t xml:space="preserve">Paid with the next payroll</t>
  </si>
  <si>
    <t xml:space="preserve">TAX</t>
  </si>
  <si>
    <t xml:space="preserve">VAT payable equals the unpaid returns per the calendar, every month</t>
  </si>
  <si>
    <t xml:space="preserve">Quarterly in 2026; monthly from 2027 once a large company</t>
  </si>
  <si>
    <t xml:space="preserve">IRPF payable equals the unpaid withholding per the calendar, every month</t>
  </si>
  <si>
    <t xml:space="preserve">Modelo 111</t>
  </si>
  <si>
    <t xml:space="preserve">Rent withholding payable equals the unpaid withholding per the calendar, every month</t>
  </si>
  <si>
    <t xml:space="preserve">Modelo 115</t>
  </si>
  <si>
    <t xml:space="preserve">Corporate income tax charges equal the rate on the annual base after tax losses (FY2026 and FY2027)</t>
  </si>
  <si>
    <t xml:space="preserve">70% limit, EUR 1m always allowed</t>
  </si>
  <si>
    <t xml:space="preserve">WORKING CAPITAL TIE-OUTS</t>
  </si>
  <si>
    <t xml:space="preserve">AR aging: professional customers tie to the ledger</t>
  </si>
  <si>
    <t xml:space="preserve">Item listing agrees with the balance at the last actual month</t>
  </si>
  <si>
    <t xml:space="preserve">AR aging: enterprise accounts tie to the ledger</t>
  </si>
  <si>
    <t xml:space="preserve">AP aging: cloud and software tie to the Payables schedule</t>
  </si>
  <si>
    <t xml:space="preserve">AP aging: paid media tie to the Payables schedule</t>
  </si>
  <si>
    <t xml:space="preserve">AP aging: spanish suppliers tie to the Payables schedule</t>
  </si>
  <si>
    <t xml:space="preserve">Card processor balance is nil to the euro, every month</t>
  </si>
  <si>
    <t xml:space="preserve">Payouts equal charges less fees</t>
  </si>
  <si>
    <t xml:space="preserve">Forecast receivables equal the collection rule every month</t>
  </si>
  <si>
    <t xml:space="preserve">Receipts never collect an invoice twice when the days change</t>
  </si>
  <si>
    <t xml:space="preserve">FORECAST CONTROLS</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</si>
  <si>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</si>
  <si>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</si>
  <si>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</si>
  <si>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</si>
  <si>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revenue bridge by MRR movement reconciles (YTD and FY)</t>
  </si>
  <si>
    <t xml:space="preserve">Weighted movement effects equal the revenue variance</t>
  </si>
  <si>
    <t xml:space="preserve">EBITDA walk from budget to actual reconciles</t>
  </si>
  <si>
    <t xml:space="preserve">Variances explain the full EBITDA gap</t>
  </si>
  <si>
    <t xml:space="preserve">SIGN AND RANGE CHECKS (minimum values, must not be negative)</t>
  </si>
  <si>
    <t xml:space="preserve">Trade receivables never negative</t>
  </si>
  <si>
    <t xml:space="preserve">Trade payables never negative</t>
  </si>
  <si>
    <t xml:space="preserve">Deferred revenue never negative</t>
  </si>
  <si>
    <t xml:space="preserve">MRR and customers never negative (every cohort and account, every month)</t>
  </si>
  <si>
    <t xml:space="preserve">Headcount never negative</t>
  </si>
  <si>
    <t xml:space="preserve">Capitalised development, capitalised commissions and fixed assets never negative</t>
  </si>
  <si>
    <t xml:space="preserve">Venture debt never negative</t>
  </si>
  <si>
    <t xml:space="preserve">Timeline: months flagged actual equal the last actual month number</t>
  </si>
  <si>
    <t xml:space="preserve">OVERALL MODEL STATUS</t>
  </si>
  <si>
    <t xml:space="preserve">BUSINESS WARNINGS (not model errors: flags for the CFO report)</t>
  </si>
  <si>
    <t xml:space="preserve">Lowest month-end cash in the forecast (selected scenario)</t>
  </si>
  <si>
    <t xml:space="preserve">Below the covenant floor is a default under the venture debt</t>
  </si>
  <si>
    <t xml:space="preserve">Headroom over the covenant floor at the lowest point</t>
  </si>
  <si>
    <t xml:space="preserve">Negative = covenant breach</t>
  </si>
  <si>
    <t xml:space="preserve">Lowest 13-week closing cash</t>
  </si>
  <si>
    <t xml:space="preserve">Net revenue retention at Dec-27 (trailing 12 months)</t>
  </si>
  <si>
    <t xml:space="preserve">Below 100% the installed base shrinks without new sales</t>
  </si>
  <si>
    <t xml:space="preserve">Largest account share of FY2026 subscription revenue</t>
  </si>
  <si>
    <t xml:space="preserve">Above 10% is a concentration risk for a SaaS book</t>
  </si>
  <si>
    <t xml:space="preserve">Brandelo invoice open at the last actual month (EUR)</t>
  </si>
  <si>
    <t xml:space="preserve">Disputed; collection month and share are scenario drivers</t>
  </si>
  <si>
    <t xml:space="preserve">Large company from January 2027 (1 = monthly VAT and withholding returns and SII)</t>
  </si>
  <si>
    <t xml:space="preserve">FY2026 volume of operations above EUR 6,010,121.04</t>
  </si>
  <si>
    <t xml:space="preserve">CFO MANAGEMENT REPORT</t>
  </si>
  <si>
    <t xml:space="preserve">FICTIONAL DEMONSTRATION: Turnoval Software S.L. and every figure in this report were generated for demonstration purposes.</t>
  </si>
  <si>
    <t xml:space="preserve">1. HEADLINE</t>
  </si>
  <si>
    <t xml:space="preserve">2. WHAT HAPPENED YEAR TO DATE (BvA: revenue by MRR movement and the EBITDA walk)</t>
  </si>
  <si>
    <t xml:space="preserve">3. SUBSCRIPTION BOOK: ARR, RETENTION AND COHORTS (ARR_Bridge, Cohorts, Account_Register)</t>
  </si>
  <si>
    <t xml:space="preserve">4. UNIT ECONOMICS AND EFFICIENCY (Unit_Economics)</t>
  </si>
  <si>
    <t xml:space="preserve">5. BILLINGS, DEFERRED REVENUE AND RECEIVABLES (Billings, Receivables, AR_Aging)</t>
  </si>
  <si>
    <t xml:space="preserve">6. PEOPLE AND CAPITALISED COSTS (People, Capitalised_Costs)</t>
  </si>
  <si>
    <t xml:space="preserve">7. CASH, COVENANT, TAX AND THE 13 WEEKS (Cash_13W, Financing, VAT, Tax)</t>
  </si>
  <si>
    <t xml:space="preserve">8. SCENARIOS (Scenarios sheet; snapshot values from three full model runs)</t>
  </si>
  <si>
    <t xml:space="preserve">9. RISK REGISTER (scored 1 to 5; score = likelihood x impact)</t>
  </si>
  <si>
    <t xml:space="preserve">Risk</t>
  </si>
  <si>
    <t xml:space="preserve">Likelihood</t>
  </si>
  <si>
    <t xml:space="preserve">Impact</t>
  </si>
  <si>
    <t xml:space="preserve">Score</t>
  </si>
  <si>
    <t xml:space="preserve">Mitigation and owner</t>
  </si>
  <si>
    <t xml:space="preserve">Funding plan to the board by January 2027 (equity round, refinancing or break-even plan); monthly covenant certificate from the 13-week forecast; early talks with the lender; CEO and BriQs CFO</t>
  </si>
  <si>
    <t xml:space="preserve">First-90-day onboarding programme and health scores; annual prepayment offer; churn reasons captured at cancellation; Customer success lead</t>
  </si>
  <si>
    <t xml:space="preserve">Channel-level CAC reporting monthly; spend moved to the channels with payback under 12 months; Head of marketing</t>
  </si>
  <si>
    <t xml:space="preserve">Executive sponsor meetings from October; renewal proposal with a multi-year option by November; CEO and Head of sales</t>
  </si>
  <si>
    <t xml:space="preserve">Large company from 1 January 2027: monthly VAT and withholding returns and the SII (invoice records to the tax agency within four days); late or wrong records carry penalties</t>
  </si>
  <si>
    <t xml:space="preserve">SII connection from the billing system tested by December; monthly close calendar reset; tax adviser review of the first returns; Finance lead</t>
  </si>
  <si>
    <t xml:space="preserve">Renewal review 90 days before each anniversary; usage alerts; Customer success lead</t>
  </si>
  <si>
    <t xml:space="preserve">Settle with a credit for the disputed locations against payment of the rest; stop new work above the credit limit; Finance lead and Head of sales</t>
  </si>
  <si>
    <t xml:space="preserve">Time records by module, business case and technical feasibility file per module; quarterly review; CTO and Finance lead</t>
  </si>
  <si>
    <t xml:space="preserve">2027 payroll cost: pay review, the higher intergenerational equity rate, the new maximum base and the solidarity contribution are not yet published</t>
  </si>
  <si>
    <t xml:space="preserve">Update the model when the 2027 order is published; pay review within the budget envelope; COO</t>
  </si>
  <si>
    <t xml:space="preserve">Key people: product, engineering and sales leaders hold the roadmap and the Enterprise relationships</t>
  </si>
  <si>
    <t xml:space="preserve">Succession cover for each leader; retention plan for the ten most critical engineers; CEO</t>
  </si>
  <si>
    <t xml:space="preserve">10. ACTIONS (owner, due date, status)</t>
  </si>
  <si>
    <t xml:space="preserve">Action</t>
  </si>
  <si>
    <t xml:space="preserve">Owner</t>
  </si>
  <si>
    <t xml:space="preserve">Due</t>
  </si>
  <si>
    <t xml:space="preserve">Measure of done</t>
  </si>
  <si>
    <t xml:space="preserve">Funding plan for the board: options (equity round, venture debt refinancing, break-even plan), timing and amount, with the covenant headroom by month in each scenario</t>
  </si>
  <si>
    <t xml:space="preserve">CEO and BriQs CFO</t>
  </si>
  <si>
    <t xml:space="preserve">Open</t>
  </si>
  <si>
    <t xml:space="preserve">Board decision on the route and the timetable</t>
  </si>
  <si>
    <t xml:space="preserve">SII and monthly returns from 1 January 2027: connection from the billing system, test submissions and a monthly close calendar</t>
  </si>
  <si>
    <t xml:space="preserve">Finance lead with the tax adviser</t>
  </si>
  <si>
    <t xml:space="preserve">Test records accepted by the tax agency; January close calendar approved</t>
  </si>
  <si>
    <t xml:space="preserve">Marvessa Hotels: renewal plan with an executive sponsor and a multi-year proposal</t>
  </si>
  <si>
    <t xml:space="preserve">CEO and Head of sales</t>
  </si>
  <si>
    <t xml:space="preserve">Proposal delivered; renewal signed by 31 January</t>
  </si>
  <si>
    <t xml:space="preserve">Essentials retention: onboarding programme for the first 90 days and cancellation reasons in the billing system</t>
  </si>
  <si>
    <t xml:space="preserve">Customer success lead</t>
  </si>
  <si>
    <t xml:space="preserve">Monthly customer churn in the first three months below 4%</t>
  </si>
  <si>
    <t xml:space="preserve">Marketing spend by channel against CAC payback; cut the channels above 18 months</t>
  </si>
  <si>
    <t xml:space="preserve">Head of marketing</t>
  </si>
  <si>
    <t xml:space="preserve">Channel report in the October pack</t>
  </si>
  <si>
    <t xml:space="preserve">Brandelo Cafes: settle the location dispute and collect the June invoice</t>
  </si>
  <si>
    <t xml:space="preserve">Finance lead and Head of sales</t>
  </si>
  <si>
    <t xml:space="preserve">Cash received; credit note for the agreed locations only</t>
  </si>
  <si>
    <t xml:space="preserve">Hiring gate: each hire from September approved against new business and the covenant headroom</t>
  </si>
  <si>
    <t xml:space="preserve">COO</t>
  </si>
  <si>
    <t xml:space="preserve">In progress</t>
  </si>
  <si>
    <t xml:space="preserve">Hiring decisions minuted with the headroom at the date</t>
  </si>
  <si>
    <t xml:space="preserve">IAS 38 file for the auditors: time records by module and a business case per capitalised module</t>
  </si>
  <si>
    <t xml:space="preserve">CTO and Finance lead</t>
  </si>
  <si>
    <t xml:space="preserve">File reviewed by the auditors before the year-end fieldwork</t>
  </si>
  <si>
    <t xml:space="preserve">Downside plan: triggers, the hiring cut, the eight roles and the order of cash levers</t>
  </si>
  <si>
    <t xml:space="preserve">BriQs CFO</t>
  </si>
  <si>
    <t xml:space="preserve">Plan approved by the board and attached to the October pack</t>
  </si>
  <si>
    <t xml:space="preserve">11. INFORMATION NEEDED BEFORE THE SEPTEMBER CLOSE</t>
  </si>
  <si>
    <t xml:space="preserve">The September billing system export: MRR and customers by cohort and account, MRR movements by segment, and cancellation reasons for Essentials and Professional.</t>
  </si>
  <si>
    <t xml:space="preserve">Marvessa Hotels: the timetable and scope of its supplier review.</t>
  </si>
  <si>
    <t xml:space="preserve">Brandelo Cafes: the outcome of the September dispute meeting.</t>
  </si>
  <si>
    <t xml:space="preserve">The lender view on a covenant reset or a further interest-only period, and the covenant certificate for September.</t>
  </si>
  <si>
    <t xml:space="preserve">The tax adviser plan for the SII and monthly returns from January 2027, and confirmation of the FY2026 volume of operations.</t>
  </si>
  <si>
    <t xml:space="preserve">The 2027 pay review proposal and, when published, the 2027 social security order (rates, maximum base, solidarity contribution); the AT/EP rate for the activity code from the mutua.</t>
  </si>
  <si>
    <t xml:space="preserve">KPI DASHBOARD</t>
  </si>
  <si>
    <t xml:space="preserve">Live links into the statements and schedules. C = FY2026 (actual + forecast), D = FY2027; balances and trailing measures at the year end unless labelled.</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</si>
  <si>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</si>
  <si>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</si>
  <si>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</si>
  <si>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</si>
  <si>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</si>
  <si>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</si>
  <si>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</si>
  <si>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</si>
  <si>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SUBSCRIPTION GROWTH AND RETENTION</t>
  </si>
  <si>
    <t xml:space="preserve">ARR</t>
  </si>
  <si>
    <t xml:space="preserve">ARR: Essentials</t>
  </si>
  <si>
    <t xml:space="preserve">ARR: Professional</t>
  </si>
  <si>
    <t xml:space="preserve">ARR: Enterprise</t>
  </si>
  <si>
    <t xml:space="preserve">Net new ARR</t>
  </si>
  <si>
    <t xml:space="preserve">ARR growth, year on year</t>
  </si>
  <si>
    <t xml:space="preserve">Customers</t>
  </si>
  <si>
    <t xml:space="preserve">MRR per customer (ARPA)</t>
  </si>
  <si>
    <t xml:space="preserve">Gross revenue retention, trailing 12 months</t>
  </si>
  <si>
    <t xml:space="preserve">Net revenue retention: Essentials</t>
  </si>
  <si>
    <t xml:space="preserve">Net revenue retention: Professional</t>
  </si>
  <si>
    <t xml:space="preserve">Net revenue retention: Enterprise</t>
  </si>
  <si>
    <t xml:space="preserve">Essentials customer churn a month</t>
  </si>
  <si>
    <t xml:space="preserve">MARGIN AND EFFICIENCY</t>
  </si>
  <si>
    <t xml:space="preserve">Revenue</t>
  </si>
  <si>
    <t xml:space="preserve">Gross margin %</t>
  </si>
  <si>
    <t xml:space="preserve">EBITDA</t>
  </si>
  <si>
    <t xml:space="preserve">EBITDA % of revenue</t>
  </si>
  <si>
    <t xml:space="preserve">Rule of 40 (ARR growth + EBITDA margin, trailing 12 months)</t>
  </si>
  <si>
    <t xml:space="preserve">Burn multiple, trailing 12 months</t>
  </si>
  <si>
    <t xml:space="preserve">CAC per new customer, trailing 3 months</t>
  </si>
  <si>
    <t xml:space="preserve">CAC payback (months)</t>
  </si>
  <si>
    <t xml:space="preserve">LTV / CAC</t>
  </si>
  <si>
    <t xml:space="preserve">ARR per employee</t>
  </si>
  <si>
    <t xml:space="preserve">BILLINGS, CASH AND COVENANT</t>
  </si>
  <si>
    <t xml:space="preserve">Billings less revenue</t>
  </si>
  <si>
    <t xml:space="preserve">Deferred revenue</t>
  </si>
  <si>
    <t xml:space="preserve">Debtor days (Professional and Enterprise)</t>
  </si>
  <si>
    <t xml:space="preserve">Cash at bank</t>
  </si>
  <si>
    <t xml:space="preserve">Covenant floor (minimum cash)</t>
  </si>
  <si>
    <t xml:space="preserve">Headroom over the covenant floor</t>
  </si>
  <si>
    <t xml:space="preserve">Net burn (cash used before financing)</t>
  </si>
  <si>
    <t xml:space="preserve">Runway to the covenant floor (months, 60 = cash generative)</t>
  </si>
  <si>
    <t xml:space="preserve">Headcount</t>
  </si>
  <si>
    <t xml:space="preserve">PROFIT AND LOSS</t>
  </si>
  <si>
    <t xml:space="preserve">Monthly, actual Jan-26 to Aug-26 and forecast to Dec-27 for the selected scenario. Revenue positive, costs negative. Cost of revenue = hosting, third-party services, card processing and the support, onboarding and customer success teams. Development meeting IAS 38.57 is capitalised; commissions are capitalised under IFRS 15.91 and amortised in sales and marketing.</t>
  </si>
  <si>
    <t xml:space="preserve">REVENUE (IFRS 15)</t>
  </si>
  <si>
    <t xml:space="preserve">Essentials subscriptions</t>
  </si>
  <si>
    <t xml:space="preserve">Professional subscriptions</t>
  </si>
  <si>
    <t xml:space="preserve">Enterprise subscriptions</t>
  </si>
  <si>
    <t xml:space="preserve">SUBSCRIPTION REVENUE</t>
  </si>
  <si>
    <t xml:space="preserve">Onboarding fees (recognised over 12 months)</t>
  </si>
  <si>
    <t xml:space="preserve">REVENUE</t>
  </si>
  <si>
    <t xml:space="preserve">Revenue growth vs prior month (memo)</t>
  </si>
  <si>
    <t xml:space="preserve">COST OF REVENUE</t>
  </si>
  <si>
    <t xml:space="preserve">Hosting and infrastructure</t>
  </si>
  <si>
    <t xml:space="preserve">Third-party services (messaging, maps, payroll connectors)</t>
  </si>
  <si>
    <t xml:space="preserve">Card processing fees (Essentials)</t>
  </si>
  <si>
    <t xml:space="preserve">Support, onboarding and customer success payroll</t>
  </si>
  <si>
    <t xml:space="preserve">TOTAL COST OF REVENUE</t>
  </si>
  <si>
    <t xml:space="preserve">GROSS PROFIT</t>
  </si>
  <si>
    <t xml:space="preserve">revenue - cost of revenue</t>
  </si>
  <si>
    <t xml:space="preserve">Gross margin % of revenue</t>
  </si>
  <si>
    <t xml:space="preserve">OPERATING EXPENSES</t>
  </si>
  <si>
    <t xml:space="preserve">Research and development payroll (engineering, product and design)</t>
  </si>
  <si>
    <t xml:space="preserve">Less: development capitalised (IAS 38)</t>
  </si>
  <si>
    <t xml:space="preserve">Sales and marketing payroll (base salaries)</t>
  </si>
  <si>
    <t xml:space="preserve">Paid media (search, social, review sites)</t>
  </si>
  <si>
    <t xml:space="preserve">Events, content and agencies</t>
  </si>
  <si>
    <t xml:space="preserve">Amortisation of capitalised commissions</t>
  </si>
  <si>
    <t xml:space="preserve">General and administrative payroll</t>
  </si>
  <si>
    <t xml:space="preserve">Software and IT tools</t>
  </si>
  <si>
    <t xml:space="preserve">Office rent, Valencia</t>
  </si>
  <si>
    <t xml:space="preserve">Audit, legal and tax advisers</t>
  </si>
  <si>
    <t xml:space="preserve">Insurance</t>
  </si>
  <si>
    <t xml:space="preserve">Recruitment</t>
  </si>
  <si>
    <t xml:space="preserve">Travel and other costs</t>
  </si>
  <si>
    <t xml:space="preserve">Bad debts and expected credit losses</t>
  </si>
  <si>
    <t xml:space="preserve">Severance</t>
  </si>
  <si>
    <t xml:space="preserve">TOTAL OPERATING EXPENSES</t>
  </si>
  <si>
    <t xml:space="preserve">BELOW EBITDA</t>
  </si>
  <si>
    <t xml:space="preserve">Amortisation of capitalised development</t>
  </si>
  <si>
    <t xml:space="preserve">Depreciation</t>
  </si>
  <si>
    <t xml:space="preserve">EBIT</t>
  </si>
  <si>
    <t xml:space="preserve">Interest on the venture debt</t>
  </si>
  <si>
    <t xml:space="preserve">PROFIT / (LOSS) BEFORE TAX</t>
  </si>
  <si>
    <t xml:space="preserve">Corporate income tax</t>
  </si>
  <si>
    <t xml:space="preserve">NET PROFIT / (LOSS)</t>
  </si>
  <si>
    <t xml:space="preserve">Net profit % of revenue</t>
  </si>
  <si>
    <t xml:space="preserve">FUNCTIONAL VIEW (memo)</t>
  </si>
  <si>
    <t xml:space="preserve">Research and development, net of capitalisation</t>
  </si>
  <si>
    <t xml:space="preserve">Sales and marketing</t>
  </si>
  <si>
    <t xml:space="preserve">General and administrative</t>
  </si>
  <si>
    <t xml:space="preserve">Research and development % of revenue</t>
  </si>
  <si>
    <t xml:space="preserve">Sales and marketing % of revenue</t>
  </si>
  <si>
    <t xml:space="preserve">General and administrative % of revenue</t>
  </si>
  <si>
    <t xml:space="preserve">Research and development before capitalisation % of revenue</t>
  </si>
  <si>
    <t xml:space="preserve">Management accounts under IFRS 15 and IAS 38. The statutory accounts follow the Spanish general accounting plan (PGC); the model does not compute differences between the two or deferred tax.</t>
  </si>
  <si>
    <t xml:space="preserve">BALANCE SHEET</t>
  </si>
  <si>
    <t xml:space="preserve">Every balance comes from a schedule. The check row must be zero in every month.</t>
  </si>
  <si>
    <t xml:space="preserve">ASSETS</t>
  </si>
  <si>
    <t xml:space="preserve">Trade receivables, net of expected credit losses</t>
  </si>
  <si>
    <t xml:space="preserve">Card processor balance (Essentials charges not yet paid out)</t>
  </si>
  <si>
    <t xml:space="preserve">Prepayments</t>
  </si>
  <si>
    <t xml:space="preserve">opening balance, no movement modelled</t>
  </si>
  <si>
    <t xml:space="preserve">Capitalised contract costs (commissions)</t>
  </si>
  <si>
    <t xml:space="preserve">Capitalised development</t>
  </si>
  <si>
    <t xml:space="preserve">Fixed assets (IT equipment and office fit-out)</t>
  </si>
  <si>
    <t xml:space="preserve">TOTAL ASSETS</t>
  </si>
  <si>
    <t xml:space="preserve">LIABILITIES</t>
  </si>
  <si>
    <t xml:space="preserve">Trade payables: cloud and software</t>
  </si>
  <si>
    <t xml:space="preserve">Trade payables: paid media</t>
  </si>
  <si>
    <t xml:space="preserve">Trade payables: Spanish suppliers</t>
  </si>
  <si>
    <t xml:space="preserve">Deferred revenue: subscriptions invoiced in advance</t>
  </si>
  <si>
    <t xml:space="preserve">Deferred revenue: onboarding fees</t>
  </si>
  <si>
    <t xml:space="preserve">Social security payable</t>
  </si>
  <si>
    <t xml:space="preserve">IRPF withheld payable (modelo 111)</t>
  </si>
  <si>
    <t xml:space="preserve">Rent withholding payable (modelo 115)</t>
  </si>
  <si>
    <t xml:space="preserve">VAT payable (modelo 303)</t>
  </si>
  <si>
    <t xml:space="preserve">Commissions payable</t>
  </si>
  <si>
    <t xml:space="preserve">Accrued extra payments (June and December)</t>
  </si>
  <si>
    <t xml:space="preserve">Corporate income tax payable</t>
  </si>
  <si>
    <t xml:space="preserve">Venture debt: current portion</t>
  </si>
  <si>
    <t xml:space="preserve">Venture debt: non-current portion</t>
  </si>
  <si>
    <t xml:space="preserve">TOTAL LIABILITIES</t>
  </si>
  <si>
    <t xml:space="preserve">EQUITY</t>
  </si>
  <si>
    <t xml:space="preserve">Share capital</t>
  </si>
  <si>
    <t xml:space="preserve">opening balance</t>
  </si>
  <si>
    <t xml:space="preserve">Share premium</t>
  </si>
  <si>
    <t xml:space="preserve">Accumulated losses: opening (memo)</t>
  </si>
  <si>
    <t xml:space="preserve">Net profit / (loss) (memo)</t>
  </si>
  <si>
    <t xml:space="preserve">Accumulated losses</t>
  </si>
  <si>
    <t xml:space="preserve">TOTAL EQUITY</t>
  </si>
  <si>
    <t xml:space="preserve">TOTAL LIABILITIES AND EQUITY</t>
  </si>
  <si>
    <t xml:space="preserve">CHECK: assets less liabilities and equity (must be zero)</t>
  </si>
  <si>
    <t xml:space="preserve">MEMO</t>
  </si>
  <si>
    <t xml:space="preserve">Deferred revenue, total</t>
  </si>
  <si>
    <t xml:space="preserve">Working capital: receivables + card balance + prepayments - payables - deferred revenue - payroll and tax payables</t>
  </si>
  <si>
    <t xml:space="preserve">Net cash: cash less venture debt</t>
  </si>
  <si>
    <t xml:space="preserve">CASH FLOW STATEMENT</t>
  </si>
  <si>
    <t xml:space="preserve">Indirect method from the P&amp;L and balance sheet movements, reconciled every month to a direct build of the cash lines in each schedule.</t>
  </si>
  <si>
    <t xml:space="preserve">OPERATING ACTIVITIES (indirect)</t>
  </si>
  <si>
    <t xml:space="preserve">Net profit / (loss)</t>
  </si>
  <si>
    <t xml:space="preserve">Add back: amortisation of capitalised development</t>
  </si>
  <si>
    <t xml:space="preserve">Add back: depreciation</t>
  </si>
  <si>
    <t xml:space="preserve">Add back: interest</t>
  </si>
  <si>
    <t xml:space="preserve">Add back: corporate income tax</t>
  </si>
  <si>
    <t xml:space="preserve">EBITDA (check equals PL)</t>
  </si>
  <si>
    <t xml:space="preserve">(Increase) / decrease in trade receivables</t>
  </si>
  <si>
    <t xml:space="preserve">BS movement</t>
  </si>
  <si>
    <t xml:space="preserve">(Increase) / decrease in the card processor balance</t>
  </si>
  <si>
    <t xml:space="preserve">(Increase) / decrease in prepayments</t>
  </si>
  <si>
    <t xml:space="preserve">(Increase) / decrease in capitalised commissions (capitalised less amortised)</t>
  </si>
  <si>
    <t xml:space="preserve">Increase / (decrease) in trade payables</t>
  </si>
  <si>
    <t xml:space="preserve">Increase / (decrease) in deferred revenue: subscriptions</t>
  </si>
  <si>
    <t xml:space="preserve">Increase / (decrease) in deferred revenue: onboarding fees</t>
  </si>
  <si>
    <t xml:space="preserve">Increase / (decrease) in payroll liabilities (social security, IRPF, commissions, extra payments)</t>
  </si>
  <si>
    <t xml:space="preserve">Increase / (decrease) in VAT and rent withholding payable</t>
  </si>
  <si>
    <t xml:space="preserve">Cash generated from operations</t>
  </si>
  <si>
    <t xml:space="preserve">Interest paid</t>
  </si>
  <si>
    <t xml:space="preserve">Corporate income tax paid</t>
  </si>
  <si>
    <t xml:space="preserve">NET CASH FROM OPERATING ACTIVITIES</t>
  </si>
  <si>
    <t xml:space="preserve">INVESTING ACTIVITIES</t>
  </si>
  <si>
    <t xml:space="preserve">Capital expenditure (IT equipment)</t>
  </si>
  <si>
    <t xml:space="preserve">Development capitalised</t>
  </si>
  <si>
    <t xml:space="preserve">NET CASH FROM INVESTING ACTIVITIES</t>
  </si>
  <si>
    <t xml:space="preserve">FINANCING ACTIVITIES</t>
  </si>
  <si>
    <t xml:space="preserve">Venture debt principal repaid</t>
  </si>
  <si>
    <t xml:space="preserve">NET CASH FROM FINANCING ACTIVITIES</t>
  </si>
  <si>
    <t xml:space="preserve">CASH</t>
  </si>
  <si>
    <t xml:space="preserve">NET CASH FLOW FOR THE MONTH</t>
  </si>
  <si>
    <t xml:space="preserve">Opening cash</t>
  </si>
  <si>
    <t xml:space="preserve">CLOSING CASH (to balance sheet)</t>
  </si>
  <si>
    <t xml:space="preserve">Free cash flow: operating and investing (negative = net burn)</t>
  </si>
  <si>
    <t xml:space="preserve">memo</t>
  </si>
  <si>
    <t xml:space="preserve">DIRECT METHOD (built from the cash lines of each schedule)</t>
  </si>
  <si>
    <t xml:space="preserve">Essentials card payouts</t>
  </si>
  <si>
    <t xml:space="preserve">schedule cash line</t>
  </si>
  <si>
    <t xml:space="preserve">Professional receipts</t>
  </si>
  <si>
    <t xml:space="preserve">Enterprise receipts</t>
  </si>
  <si>
    <t xml:space="preserve">Net pay: salaries, extra payments and commissions (last working day)</t>
  </si>
  <si>
    <t xml:space="preserve">Social security (last working day of the following month)</t>
  </si>
  <si>
    <t xml:space="preserve">IRPF withheld (modelo 111)</t>
  </si>
  <si>
    <t xml:space="preserve">Cloud and software vendors (card on the 5th)</t>
  </si>
  <si>
    <t xml:space="preserve">Paid media platforms</t>
  </si>
  <si>
    <t xml:space="preserve">Spanish suppliers incl. VAT and equipment</t>
  </si>
  <si>
    <t xml:space="preserve">Rent (in advance, net of withholding)</t>
  </si>
  <si>
    <t xml:space="preserve">Rent withholding (modelo 115)</t>
  </si>
  <si>
    <t xml:space="preserve">VAT returns (modelo 303)</t>
  </si>
  <si>
    <t xml:space="preserve">Venture debt interest</t>
  </si>
  <si>
    <t xml:space="preserve">Venture debt principal</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</si>
  <si>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</si>
  <si>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</si>
  <si>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</si>
  <si>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 and for cost lines shown as negatives.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</si>
  <si>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</si>
  <si>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</si>
  <si>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</si>
  <si>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</si>
  <si>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</si>
  <si>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</si>
  <si>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</si>
  <si>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SUBSCRIPTION BOOK (YTD columns: at the last actual month; FY columns: at Dec-26)</t>
  </si>
  <si>
    <t xml:space="preserve">Essentials MRR</t>
  </si>
  <si>
    <t xml:space="preserve">Professional MRR</t>
  </si>
  <si>
    <t xml:space="preserve">Enterprise MRR</t>
  </si>
  <si>
    <t xml:space="preserve">TOTAL MRR</t>
  </si>
  <si>
    <t xml:space="preserve">Essentials customers</t>
  </si>
  <si>
    <t xml:space="preserve">Professional customers</t>
  </si>
  <si>
    <t xml:space="preserve">Enterprise customers</t>
  </si>
  <si>
    <t xml:space="preserve">CUSTOMERS</t>
  </si>
  <si>
    <t xml:space="preserve">Onboarding fees</t>
  </si>
  <si>
    <t xml:space="preserve">Third-party services</t>
  </si>
  <si>
    <t xml:space="preserve">Card processing fees</t>
  </si>
  <si>
    <t xml:space="preserve">Support, onboarding and success payroll</t>
  </si>
  <si>
    <t xml:space="preserve">Research and development payroll</t>
  </si>
  <si>
    <t xml:space="preserve">Less: development capitalised</t>
  </si>
  <si>
    <t xml:space="preserve">Sales and marketing payroll</t>
  </si>
  <si>
    <t xml:space="preserve">Paid media</t>
  </si>
  <si>
    <t xml:space="preserve">Office rent</t>
  </si>
  <si>
    <t xml:space="preserve">Interest</t>
  </si>
  <si>
    <t xml:space="preserve">BALANCES AND HEADCOUNT (YTD columns: at the last actual month; FY columns: at Dec-26)</t>
  </si>
  <si>
    <t xml:space="preserve">Deferred revenue (subscriptions and onboarding fees)</t>
  </si>
  <si>
    <t xml:space="preserve">SUBSCRIPTION REVENUE VARIANCE BY MRR MOVEMENT (each movement weighted by the months it has earned revenue)</t>
  </si>
  <si>
    <t xml:space="preserve">Segment and movement</t>
  </si>
  <si>
    <t xml:space="preserve">YTD actual movement</t>
  </si>
  <si>
    <t xml:space="preserve">YTD budget movement</t>
  </si>
  <si>
    <t xml:space="preserve">Movement variance</t>
  </si>
  <si>
    <t xml:space="preserve">Revenue effect YTD</t>
  </si>
  <si>
    <t xml:space="preserve">FY26 outlook movement</t>
  </si>
  <si>
    <t xml:space="preserve">FY26 budget movement</t>
  </si>
  <si>
    <t xml:space="preserve">Revenue effect FY26</t>
  </si>
  <si>
    <t xml:space="preserve">Essentials: new customers</t>
  </si>
  <si>
    <t xml:space="preserve">Essentials: expansion</t>
  </si>
  <si>
    <t xml:space="preserve">Essentials: price</t>
  </si>
  <si>
    <t xml:space="preserve">Essentials: contraction</t>
  </si>
  <si>
    <t xml:space="preserve">Essentials: churn</t>
  </si>
  <si>
    <t xml:space="preserve">Professional: new customers</t>
  </si>
  <si>
    <t xml:space="preserve">Professional: expansion</t>
  </si>
  <si>
    <t xml:space="preserve">Professional: price</t>
  </si>
  <si>
    <t xml:space="preserve">Professional: contraction</t>
  </si>
  <si>
    <t xml:space="preserve">Professional: churn</t>
  </si>
  <si>
    <t xml:space="preserve">Enterprise: new customers</t>
  </si>
  <si>
    <t xml:space="preserve">Enterprise: expansion</t>
  </si>
  <si>
    <t xml:space="preserve">Enterprise: price</t>
  </si>
  <si>
    <t xml:space="preserve">Enterprise: contraction</t>
  </si>
  <si>
    <t xml:space="preserve">Enterprise: churn</t>
  </si>
  <si>
    <t xml:space="preserve">TOTAL REVENUE VARIANCE</t>
  </si>
  <si>
    <t xml:space="preserve">Check: revenue effects less the P&amp;L revenue variance (must be zero)</t>
  </si>
  <si>
    <t xml:space="preserve">Subscription revenue in a month equals the MRR of that month, and actual and budget start from the same Dec-25 book. So each MRR movement in month k earns revenue in every month from k to the end of the period: its revenue effect is the movement variance times those months (YTD: last actual month - k + 1; FY: 13 - k). The effects add up exactly to the revenue variance.</t>
  </si>
  <si>
    <t xml:space="preserve">EBITDA WALK, YTD (budget to actual)</t>
  </si>
  <si>
    <t xml:space="preserve">Budget EBITDA YTD</t>
  </si>
  <si>
    <t xml:space="preserve">Essentials subscription revenue</t>
  </si>
  <si>
    <t xml:space="preserve">Professional subscription revenue</t>
  </si>
  <si>
    <t xml:space="preserve">Enterprise subscription revenue</t>
  </si>
  <si>
    <t xml:space="preserve">Hosting, third-party services and card fees</t>
  </si>
  <si>
    <t xml:space="preserve">Research and development payroll, net of capitalisation</t>
  </si>
  <si>
    <t xml:space="preserve">Marketing programmes (media, events, content)</t>
  </si>
  <si>
    <t xml:space="preserve">Commission amortisation</t>
  </si>
  <si>
    <t xml:space="preserve">Other overheads (tools, rent, advisers, insurance, recruitment, travel)</t>
  </si>
  <si>
    <t xml:space="preserve">Bad debts and credit losses</t>
  </si>
  <si>
    <t xml:space="preserve">Actual EBITDA YTD</t>
  </si>
  <si>
    <t xml:space="preserve">Check: budget + variances - actual (must be zero)</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</si>
  <si>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</si>
  <si>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(check in G). Drivers below are live links to Assumptions.</t>
  </si>
  <si>
    <t xml:space="preserve">Snapshot run date</t>
  </si>
  <si>
    <t xml:space="preserve">23-Sep-2026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</si>
  <si>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</si>
  <si>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</si>
  <si>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</si>
  <si>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</si>
  <si>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</si>
  <si>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</si>
  <si>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</si>
  <si>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</si>
  <si>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ARR at Dec-26</t>
  </si>
  <si>
    <t xml:space="preserve">EUR</t>
  </si>
  <si>
    <t xml:space="preserve">ARR at Dec-27</t>
  </si>
  <si>
    <t xml:space="preserve">FY2026 revenue (outlook)</t>
  </si>
  <si>
    <t xml:space="preserve">FY2027 revenue</t>
  </si>
  <si>
    <t xml:space="preserve">FY2027 gross margin %</t>
  </si>
  <si>
    <t xml:space="preserve">%</t>
  </si>
  <si>
    <t xml:space="preserve">FY2026 EBITDA</t>
  </si>
  <si>
    <t xml:space="preserve">FY2027 EBITDA</t>
  </si>
  <si>
    <t xml:space="preserve">FY2027 EBITDA % of revenue</t>
  </si>
  <si>
    <t xml:space="preserve">FY2027 net profit / (loss)</t>
  </si>
  <si>
    <t xml:space="preserve">Gross revenue retention at Dec-27 (trailing 12 months)</t>
  </si>
  <si>
    <t xml:space="preserve">FY2027 net burn (cash used before financing)</t>
  </si>
  <si>
    <t xml:space="preserve">Burn multiple at Dec-27, trailing 12 months (0 = not meaningful: no burn or no ARR growth)</t>
  </si>
  <si>
    <t xml:space="preserve">x</t>
  </si>
  <si>
    <t xml:space="preserve">Rule of 40 at Dec-27</t>
  </si>
  <si>
    <t xml:space="preserve">Cash at 31-Dec-26</t>
  </si>
  <si>
    <t xml:space="preserve">Cash at 31-Dec-27</t>
  </si>
  <si>
    <t xml:space="preserve">Lowest month-end cash, Sep-26 to Dec-27</t>
  </si>
  <si>
    <t xml:space="preserve">Month of the lowest cash</t>
  </si>
  <si>
    <t xml:space="preserve">month</t>
  </si>
  <si>
    <t xml:space="preserve">Headroom at the lowest point over the covenant floor (negative = breach)</t>
  </si>
  <si>
    <t xml:space="preserve">Headcount at Dec-27</t>
  </si>
  <si>
    <t xml:space="preserve">number</t>
  </si>
  <si>
    <t xml:space="preserve">Total of check column (must be zero)</t>
  </si>
  <si>
    <t xml:space="preserve">KEY DRIVERS BY SCENARIO (live links to Assumptions)</t>
  </si>
  <si>
    <t xml:space="preserve">Renewal and win probabilities by account and scenario are on the Account_Register. To refresh the snapshots: set Assumptions!C11 to 1, 2 and 3 in turn, recalculate, and paste column F as values into C, D and E.</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</si>
  <si>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</si>
  <si>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</si>
  <si>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</si>
  <si>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</si>
  <si>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</si>
  <si>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</si>
  <si>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</si>
  <si>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</si>
  <si>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</si>
  <si>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</si>
  <si>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</si>
  <si>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</si>
  <si>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</si>
  <si>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</si>
  <si>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</si>
  <si>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</si>
  <si>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</si>
  <si>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</si>
  <si>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</si>
  <si>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</si>
  <si>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</si>
  <si>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</si>
  <si>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</si>
  <si>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</si>
  <si>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</si>
  <si>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</si>
  <si>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</si>
  <si>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</si>
  <si>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</si>
  <si>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Calendar days: share of Sep-26 falling in the week (after the opening date)</t>
  </si>
  <si>
    <t xml:space="preserve">Calendar days: share of Oct-26 falling in the week (after the opening date)</t>
  </si>
  <si>
    <t xml:space="preserve">Calendar days: share of Nov-26 falling in the week (after the opening date)</t>
  </si>
  <si>
    <t xml:space="preserve">Calendar days: share of Dec-26 falling in the week (after the opening date)</t>
  </si>
  <si>
    <t xml:space="preserve">5th of month of Sep-26 falls in the week (1/0), after the opening date only</t>
  </si>
  <si>
    <t xml:space="preserve">5th of month of Oct-26 falls in the week (1/0), after the opening date only</t>
  </si>
  <si>
    <t xml:space="preserve">5th of month of Nov-26 falls in the week (1/0), after the opening date only</t>
  </si>
  <si>
    <t xml:space="preserve">5th of month of Dec-26 falls in the week (1/0), after the opening date only</t>
  </si>
  <si>
    <t xml:space="preserve">20th (VAT day) of Sep-26 falls in the week (1/0), after the opening date only</t>
  </si>
  <si>
    <t xml:space="preserve">20th (VAT day) of Oct-26 falls in the week (1/0), after the opening date only</t>
  </si>
  <si>
    <t xml:space="preserve">20th (VAT day) of Nov-26 falls in the week (1/0), after the opening date only</t>
  </si>
  <si>
    <t xml:space="preserve">20th (VAT day) of Dec-26 falls in the week (1/0), after the opening date only</t>
  </si>
  <si>
    <t xml:space="preserve">25th (payment run) of Sep-26 falls in the week (1/0), after the opening date only</t>
  </si>
  <si>
    <t xml:space="preserve">25th (payment run) of Oct-26 falls in the week (1/0), after the opening date only</t>
  </si>
  <si>
    <t xml:space="preserve">25th (payment run) of Nov-26 falls in the week (1/0), after the opening date only</t>
  </si>
  <si>
    <t xml:space="preserve">25th (payment run) of Dec-26 falls in the week (1/0), after the opening date only</t>
  </si>
  <si>
    <t xml:space="preserve">last working day of Sep-26 falls in the week (1/0), after the opening date only</t>
  </si>
  <si>
    <t xml:space="preserve">last working day of Oct-26 falls in the week (1/0), after the opening date only</t>
  </si>
  <si>
    <t xml:space="preserve">last working day of Nov-26 falls in the week (1/0), after the opening date only</t>
  </si>
  <si>
    <t xml:space="preserve">last working day of Dec-26 falls in the week (1/0), after the opening date only</t>
  </si>
  <si>
    <t xml:space="preserve">first working day of Sep-26 falls in the week (1/0), after the opening date only</t>
  </si>
  <si>
    <t xml:space="preserve">first working day of Oct-26 falls in the week (1/0), after the opening date only</t>
  </si>
  <si>
    <t xml:space="preserve">first working day of Nov-26 falls in the week (1/0), after the opening date only</t>
  </si>
  <si>
    <t xml:space="preserve">first working day of Dec-26 falls in the week (1/0), after the opening date only</t>
  </si>
  <si>
    <t xml:space="preserve">month end of Sep-26 falls in the week (1/0), after the opening date only</t>
  </si>
  <si>
    <t xml:space="preserve">month end of Oct-26 falls in the week (1/0), after the opening date only</t>
  </si>
  <si>
    <t xml:space="preserve">month end of Nov-26 falls in the week (1/0), after the opening date only</t>
  </si>
  <si>
    <t xml:space="preserve">month end of Dec-26 falls in the week (1/0), after the opening date only</t>
  </si>
  <si>
    <t xml:space="preserve">RECEIPTS</t>
  </si>
  <si>
    <t xml:space="preserve">Essentials card payouts (daily, net of processing fees)</t>
  </si>
  <si>
    <t xml:space="preserve">calendar days</t>
  </si>
  <si>
    <t xml:space="preserve">Professional receipts (transfer and direct debit)</t>
  </si>
  <si>
    <t xml:space="preserve">Enterprise receipts (month-end payment runs of the accounts)</t>
  </si>
  <si>
    <t xml:space="preserve">25th (payment run)</t>
  </si>
  <si>
    <t xml:space="preserve">TOTAL RECEIPTS</t>
  </si>
  <si>
    <t xml:space="preserve">n/a</t>
  </si>
  <si>
    <t xml:space="preserve">PAYMENTS</t>
  </si>
  <si>
    <t xml:space="preserve">last working day</t>
  </si>
  <si>
    <t xml:space="preserve">Social security for the prior month (debited on the last working day)</t>
  </si>
  <si>
    <t xml:space="preserve">IRPF withheld, modelo 111 (20th of the month after the quarter)</t>
  </si>
  <si>
    <t xml:space="preserve">20th (VAT day)</t>
  </si>
  <si>
    <t xml:space="preserve">Rent withholding, modelo 115 (20th)</t>
  </si>
  <si>
    <t xml:space="preserve">VAT, modelo 303 (20th of the month after the quarter)</t>
  </si>
  <si>
    <t xml:space="preserve">Corporate income tax payments on account (nil while no tax is assessed)</t>
  </si>
  <si>
    <t xml:space="preserve">Severance (month end)</t>
  </si>
  <si>
    <t xml:space="preserve">month end</t>
  </si>
  <si>
    <t xml:space="preserve">Cloud and software vendors (company card on the 5th)</t>
  </si>
  <si>
    <t xml:space="preserve">5th of month</t>
  </si>
  <si>
    <t xml:space="preserve">Paid media platforms (billed twice a month)</t>
  </si>
  <si>
    <t xml:space="preserve">Spanish suppliers incl. VAT and equipment (30 days)</t>
  </si>
  <si>
    <t xml:space="preserve">Rent in advance, net of withholding (first working day)</t>
  </si>
  <si>
    <t xml:space="preserve">first working day</t>
  </si>
  <si>
    <t xml:space="preserve">Venture debt instalment and interest (last working day)</t>
  </si>
  <si>
    <t xml:space="preserve">TOTAL PAYMENTS</t>
  </si>
  <si>
    <t xml:space="preserve">NET CASH FLOW FOR THE WEEK</t>
  </si>
  <si>
    <t xml:space="preserve">ledger + actual to date</t>
  </si>
  <si>
    <t xml:space="preserve">CLOSING CASH</t>
  </si>
  <si>
    <t xml:space="preserve">CASH CONTROL</t>
  </si>
  <si>
    <t xml:space="preserve">Minimum cash: venture debt covenant</t>
  </si>
  <si>
    <t xml:space="preserve">HEADROOM / (SHORTFALL) VS THE COVENANT FLOOR</t>
  </si>
  <si>
    <t xml:space="preserve">Low point in the 13 weeks</t>
  </si>
  <si>
    <t xml:space="preserve">Week ending of the low point</t>
  </si>
  <si>
    <t xml:space="preserve">Headroom over the covenant at the low point (negative = action needed)</t>
  </si>
  <si>
    <t xml:space="preserve">Undrawn committed facilities</t>
  </si>
  <si>
    <t xml:space="preserve">Facility headroom after covering any shortfall</t>
  </si>
  <si>
    <t xml:space="preserve">Social security and taxes paid in the window</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</si>
  <si>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</si>
  <si>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</si>
  <si>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</si>
  <si>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</si>
  <si>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</si>
  <si>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</si>
  <si>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APPROACHES THE COVENANT FLOOR, IN ORDER</t>
  </si>
  <si>
    <t xml:space="preserve">MRR AND ARR BRIDGE BY SEGMENT, CUSTOMERS AND TRAILING TWELVE-MONTH RETENTION</t>
  </si>
  <si>
    <t xml:space="preserve">Consolidates Subscriptions and Enterprise. NRR and GRR use the bridge method over the trailing twelve months (FY2025 months from History): NRR = (MRR a year ago + expansion + price - contraction - churn) / MRR a year ago; GRR excludes expansion and price.</t>
  </si>
  <si>
    <t xml:space="preserve">ESSENTIALS (SELF-SERVE, MONTHLY CARD BILLING)</t>
  </si>
  <si>
    <t xml:space="preserve">Opening MRR</t>
  </si>
  <si>
    <t xml:space="preserve">New customers</t>
  </si>
  <si>
    <t xml:space="preserve">Expansion</t>
  </si>
  <si>
    <t xml:space="preserve">Price</t>
  </si>
  <si>
    <t xml:space="preserve">Contraction</t>
  </si>
  <si>
    <t xml:space="preserve">Churn</t>
  </si>
  <si>
    <t xml:space="preserve">Closing MRR</t>
  </si>
  <si>
    <t xml:space="preserve">ARR (12 x MRR)</t>
  </si>
  <si>
    <t xml:space="preserve">New customers (count)</t>
  </si>
  <si>
    <t xml:space="preserve">Customers lost (count)</t>
  </si>
  <si>
    <t xml:space="preserve">bridge method</t>
  </si>
  <si>
    <t xml:space="preserve">PROFESSIONAL (ANNUAL PREPAID, INVOICED)</t>
  </si>
  <si>
    <t xml:space="preserve">ENTERPRISE (ANNUAL PREPAID, NAMED ACCOUNTS)</t>
  </si>
  <si>
    <t xml:space="preserve">TOTAL</t>
  </si>
  <si>
    <t xml:space="preserve">CLOSING MRR</t>
  </si>
  <si>
    <t xml:space="preserve">Net new ARR in the month</t>
  </si>
  <si>
    <t xml:space="preserve">NET REVENUE RETENTION, trailing 12 months</t>
  </si>
  <si>
    <t xml:space="preserve">GROSS REVENUE RETENTION, trailing 12 months</t>
  </si>
  <si>
    <t xml:space="preserve">Customer churn a month, Essentials (lost / opening customers)</t>
  </si>
  <si>
    <t xml:space="preserve">LOGO AND REVENUE COHORTS BY ACQUISITION QUARTER (ALL SEGMENTS)</t>
  </si>
  <si>
    <t xml:space="preserve">MRR and customers of each acquisition cohort at every quarter end. 2024 to 2025 quarter ends from History (billing system); 2026 to 2027 quarter ends are live links to the cohort lines on Subscriptions and the accounts on Enterprise (forecast values are expected values: pipeline deals at their win probability, renewals at their renewal probability).</t>
  </si>
  <si>
    <t xml:space="preserve">MRR AT EACH QUARTER END BY ACQUISITION QUARTER (EUR)</t>
  </si>
  <si>
    <t xml:space="preserve">Acquisition quarter</t>
  </si>
  <si>
    <t xml:space="preserve">Code</t>
  </si>
  <si>
    <t xml:space="preserve">Q1-24</t>
  </si>
  <si>
    <t xml:space="preserve">Q2-24</t>
  </si>
  <si>
    <t xml:space="preserve">Q3-24</t>
  </si>
  <si>
    <t xml:space="preserve">Q4-24</t>
  </si>
  <si>
    <t xml:space="preserve">Q1-25</t>
  </si>
  <si>
    <t xml:space="preserve">Q2-25</t>
  </si>
  <si>
    <t xml:space="preserve">Q3-25</t>
  </si>
  <si>
    <t xml:space="preserve">Q4-25</t>
  </si>
  <si>
    <t xml:space="preserve">Q1-26</t>
  </si>
  <si>
    <t xml:space="preserve">Q2-26</t>
  </si>
  <si>
    <t xml:space="preserve">Q3-26</t>
  </si>
  <si>
    <t xml:space="preserve">Q4-26</t>
  </si>
  <si>
    <t xml:space="preserve">Q1-27</t>
  </si>
  <si>
    <t xml:space="preserve">Q2-27</t>
  </si>
  <si>
    <t xml:space="preserve">Q3-27</t>
  </si>
  <si>
    <t xml:space="preserve">Q4-27</t>
  </si>
  <si>
    <t xml:space="preserve">After 4 quarters</t>
  </si>
  <si>
    <t xml:space="preserve">After 8 quarters</t>
  </si>
  <si>
    <t xml:space="preserve">Acquired in Q1-24</t>
  </si>
  <si>
    <t xml:space="preserve">Acquired in Q2-24</t>
  </si>
  <si>
    <t xml:space="preserve">Acquired in Q3-24</t>
  </si>
  <si>
    <t xml:space="preserve">Acquired in Q4-24</t>
  </si>
  <si>
    <t xml:space="preserve">Acquired in Q1-25</t>
  </si>
  <si>
    <t xml:space="preserve">Acquired in Q2-25</t>
  </si>
  <si>
    <t xml:space="preserve">Acquired in Q3-25</t>
  </si>
  <si>
    <t xml:space="preserve">Acquired in Q4-25</t>
  </si>
  <si>
    <t xml:space="preserve">Acquired in Q1-26</t>
  </si>
  <si>
    <t xml:space="preserve">Acquired in Q2-26</t>
  </si>
  <si>
    <t xml:space="preserve">Acquired in Q3-26</t>
  </si>
  <si>
    <t xml:space="preserve">Acquired in Q4-26</t>
  </si>
  <si>
    <t xml:space="preserve">Acquired in Q1-27</t>
  </si>
  <si>
    <t xml:space="preserve">Acquired in Q2-27</t>
  </si>
  <si>
    <t xml:space="preserve">Acquired in Q3-27</t>
  </si>
  <si>
    <t xml:space="preserve">Acquired in Q4-27</t>
  </si>
  <si>
    <t xml:space="preserve">Customers acquired before 2024</t>
  </si>
  <si>
    <t xml:space="preserve">Total per History (2024 to 2025) and the ARR bridge (2026 to 2027)</t>
  </si>
  <si>
    <t xml:space="preserve">Check: cohorts less the total (must be zero)</t>
  </si>
  <si>
    <t xml:space="preserve">NET MRR RETENTION: MRR AS A SHARE OF THE COHORT MRR AT ITS FIRST QUARTER END (expansion and price can take it above 100%)</t>
  </si>
  <si>
    <t xml:space="preserve">Average of the 2024 cohorts</t>
  </si>
  <si>
    <t xml:space="preserve">Average of the 2025 cohorts</t>
  </si>
  <si>
    <t xml:space="preserve">CUSTOMERS AT EACH QUARTER END BY ACQUISITION QUARTER</t>
  </si>
  <si>
    <t xml:space="preserve">LOGO RETENTION: CUSTOMERS AS A SHARE OF THE COHORT AT ITS FIRST QUARTER END</t>
  </si>
  <si>
    <t xml:space="preserve">The first quarter end of a cohort holds the customers won in that quarter who are still live at the quarter end. Pipeline deals and Enterprise accounts not yet identified enter their cohort as expected values, so their customer counts are fractional.</t>
  </si>
  <si>
    <t xml:space="preserve">UNIT ECONOMICS AND EFFICIENCY: CAC, PAYBACK, LTV, BURN MULTIPLE, RULE OF 40 AND RUNWAY</t>
  </si>
  <si>
    <t xml:space="preserve">Blended across segments. Trailing three-month measures use the months available in 2026 for January and February; trailing twelve-month measures use FY2025 months from History. Sales and marketing spend counts commissions when earned (capitalised on the balance sheet) and excludes their amortisation, so nothing is counted twice.</t>
  </si>
  <si>
    <t xml:space="preserve">ACQUISITION COST</t>
  </si>
  <si>
    <t xml:space="preserve">Paid media, events, content and agencies</t>
  </si>
  <si>
    <t xml:space="preserve">Commissions earned incl. employer social security (capitalised)</t>
  </si>
  <si>
    <t xml:space="preserve">SALES AND MARKETING SPEND</t>
  </si>
  <si>
    <t xml:space="preserve">New MRR</t>
  </si>
  <si>
    <t xml:space="preserve">Expansion MRR</t>
  </si>
  <si>
    <t xml:space="preserve">CAC: sales and marketing spend per new customer, trailing 3 months</t>
  </si>
  <si>
    <t xml:space="preserve">Gross margin %, trailing 3 months</t>
  </si>
  <si>
    <t xml:space="preserve">CAC payback (months): spend / ((new + expansion MRR) x gross margin), trailing 3 months</t>
  </si>
  <si>
    <t xml:space="preserve">RETENTION AND LIFETIME VALUE</t>
  </si>
  <si>
    <t xml:space="preserve">Churn and contraction</t>
  </si>
  <si>
    <t xml:space="preserve">Gross MRR churn a month, trailing 12 months (churn and contraction / opening MRR)</t>
  </si>
  <si>
    <t xml:space="preserve">Lifetime value: ARPA x gross margin / monthly gross MRR churn</t>
  </si>
  <si>
    <t xml:space="preserve">EFFICIENCY</t>
  </si>
  <si>
    <t xml:space="preserve">Net burn: cash used before financing (negative = cash generated)</t>
  </si>
  <si>
    <t xml:space="preserve">Net burn, trailing 12 months</t>
  </si>
  <si>
    <t xml:space="preserve">CF and History</t>
  </si>
  <si>
    <t xml:space="preserve">Net new ARR, trailing 12 months</t>
  </si>
  <si>
    <t xml:space="preserve">ARR_Bridge and History</t>
  </si>
  <si>
    <t xml:space="preserve">BURN MULTIPLE, trailing 12 months: net burn / net new ARR (0 when not burning or ARR not growing)</t>
  </si>
  <si>
    <t xml:space="preserve">Revenue, trailing 12 months</t>
  </si>
  <si>
    <t xml:space="preserve">PL and History</t>
  </si>
  <si>
    <t xml:space="preserve">EBITDA, trailing 12 months</t>
  </si>
  <si>
    <t xml:space="preserve">EBITDA margin, trailing 12 months</t>
  </si>
  <si>
    <t xml:space="preserve">RULE OF 40: ARR growth + EBITDA margin (trailing 12 months)</t>
  </si>
  <si>
    <t xml:space="preserve">ARR_Bridge and People</t>
  </si>
  <si>
    <t xml:space="preserve">Hosting and third-party services % of subscription revenue</t>
  </si>
  <si>
    <t xml:space="preserve">Support, onboarding and success cost per customer a month</t>
  </si>
  <si>
    <t xml:space="preserve">PL and ARR_Bridge</t>
  </si>
  <si>
    <t xml:space="preserve">RUNWAY</t>
  </si>
  <si>
    <t xml:space="preserve">Average monthly net cash outflow incl. debt service, last three months</t>
  </si>
  <si>
    <t xml:space="preserve">Runway to the covenant floor (months): (cash - minimum cash) / average outflow; 60 = cash generative</t>
  </si>
  <si>
    <t xml:space="preserve">BILLINGS, REVENUE AND DEFERRED REVENUE (IFRS 15), INVOICING INCL. VAT</t>
  </si>
  <si>
    <t xml:space="preserve">Subscriptions: revenue = MRR each month (ratable). Annual prepayments sit in deferred revenue (contract liabilities) until earned. Onboarding fees are not a distinct service: recognised over 12 months from the start (IFRS 15.B48 to B51).</t>
  </si>
  <si>
    <t xml:space="preserve">BILLINGS (EUR ex VAT)</t>
  </si>
  <si>
    <t xml:space="preserve">Essentials (monthly in advance by card)</t>
  </si>
  <si>
    <t xml:space="preserve">Professional onboarding fees</t>
  </si>
  <si>
    <t xml:space="preserve">Enterprise onboarding fees</t>
  </si>
  <si>
    <t xml:space="preserve">TOTAL BILLINGS</t>
  </si>
  <si>
    <t xml:space="preserve">REVENUE (EUR)</t>
  </si>
  <si>
    <t xml:space="preserve">MRR</t>
  </si>
  <si>
    <t xml:space="preserve">Onboarding fees recognised (over 12 months)</t>
  </si>
  <si>
    <t xml:space="preserve">fees invoiced in the last 12 months / 12</t>
  </si>
  <si>
    <t xml:space="preserve">TOTAL REVENUE</t>
  </si>
  <si>
    <t xml:space="preserve">DEFERRED REVENUE: SUBSCRIPTIONS (contract liabilities)</t>
  </si>
  <si>
    <t xml:space="preserve">Opening</t>
  </si>
  <si>
    <t xml:space="preserve">Add: Professional and Enterprise subscriptions invoiced</t>
  </si>
  <si>
    <t xml:space="preserve">Less: Professional and Enterprise revenue earned</t>
  </si>
  <si>
    <t xml:space="preserve">DEFERRED REVENUE, SUBSCRIPTIONS</t>
  </si>
  <si>
    <t xml:space="preserve">Per contract schedule (unexpired prepaid months)</t>
  </si>
  <si>
    <t xml:space="preserve">Subscriptions and Enterprise</t>
  </si>
  <si>
    <t xml:space="preserve">Check: roll-forward less schedule (must be zero)</t>
  </si>
  <si>
    <t xml:space="preserve">DEFERRED REVENUE: ONBOARDING FEES</t>
  </si>
  <si>
    <t xml:space="preserve">DEFERRED ONBOARDING FEES</t>
  </si>
  <si>
    <t xml:space="preserve">opening + invoiced - recognised</t>
  </si>
  <si>
    <t xml:space="preserve">Per fee schedule (fees x unexpired months / 12)</t>
  </si>
  <si>
    <t xml:space="preserve">independent calculation</t>
  </si>
  <si>
    <t xml:space="preserve">INVOICING INCL. VAT AND OUTPUT VAT (Spanish customers 21%; EU reverse charge and UK outside the scope)</t>
  </si>
  <si>
    <t xml:space="preserve">Output VAT: Essentials</t>
  </si>
  <si>
    <t xml:space="preserve">billing x share in Spain x 21%</t>
  </si>
  <si>
    <t xml:space="preserve">Output VAT: Professional</t>
  </si>
  <si>
    <t xml:space="preserve">Output VAT: Enterprise</t>
  </si>
  <si>
    <t xml:space="preserve">by account</t>
  </si>
  <si>
    <t xml:space="preserve">OUTPUT VAT</t>
  </si>
  <si>
    <t xml:space="preserve">Invoiced incl. VAT: Essentials (card charges)</t>
  </si>
  <si>
    <t xml:space="preserve">Invoiced incl. VAT: Professional</t>
  </si>
  <si>
    <t xml:space="preserve">Invoiced incl. VAT: Enterprise</t>
  </si>
  <si>
    <t xml:space="preserve">Billings less revenue (cash invoiced ahead of revenue)</t>
  </si>
  <si>
    <t xml:space="preserve">Deferred revenue in months of MRR</t>
  </si>
  <si>
    <t xml:space="preserve">SUBSCRIPTIONS: ESSENTIALS AND PROFESSIONAL BY MONTHLY COHORT (MRR, CUSTOMERS, BRIDGE, BILLING)</t>
  </si>
  <si>
    <t xml:space="preserve">A: billing system by cohort. F: each cohort moves with the churn, contraction and expansion rates for its age (Essentials) or renews on its anniversary (Professional); new cohorts come from New_Business. Bridges reconcile to the cohort totals.</t>
  </si>
  <si>
    <t xml:space="preserve">ESSENTIALS: MRR BY COHORT (EUR)</t>
  </si>
  <si>
    <t xml:space="preserve">A: billing system; F: age-band rates</t>
  </si>
  <si>
    <t xml:space="preserve">Cohort Jan-24</t>
  </si>
  <si>
    <t xml:space="preserve">Cohort Feb-24</t>
  </si>
  <si>
    <t xml:space="preserve">Cohort Mar-24</t>
  </si>
  <si>
    <t xml:space="preserve">Cohort Apr-24</t>
  </si>
  <si>
    <t xml:space="preserve">Cohort May-24</t>
  </si>
  <si>
    <t xml:space="preserve">Cohort Jun-24</t>
  </si>
  <si>
    <t xml:space="preserve">Cohort Jul-24</t>
  </si>
  <si>
    <t xml:space="preserve">Cohort Aug-24</t>
  </si>
  <si>
    <t xml:space="preserve">Cohort Sep-24</t>
  </si>
  <si>
    <t xml:space="preserve">Cohort Oct-24</t>
  </si>
  <si>
    <t xml:space="preserve">Cohort Nov-24</t>
  </si>
  <si>
    <t xml:space="preserve">Cohort Dec-24</t>
  </si>
  <si>
    <t xml:space="preserve">Cohort Jan-25</t>
  </si>
  <si>
    <t xml:space="preserve">Cohort Feb-25</t>
  </si>
  <si>
    <t xml:space="preserve">Cohort Mar-25</t>
  </si>
  <si>
    <t xml:space="preserve">Cohort Apr-25</t>
  </si>
  <si>
    <t xml:space="preserve">Cohort May-25</t>
  </si>
  <si>
    <t xml:space="preserve">Cohort Jun-25</t>
  </si>
  <si>
    <t xml:space="preserve">Cohort Jul-25</t>
  </si>
  <si>
    <t xml:space="preserve">Cohort Aug-25</t>
  </si>
  <si>
    <t xml:space="preserve">Cohort Sep-25</t>
  </si>
  <si>
    <t xml:space="preserve">Cohort Oct-25</t>
  </si>
  <si>
    <t xml:space="preserve">Cohort Nov-25</t>
  </si>
  <si>
    <t xml:space="preserve">Cohort Dec-25</t>
  </si>
  <si>
    <t xml:space="preserve">Cohort Jan-26</t>
  </si>
  <si>
    <t xml:space="preserve">Cohort Feb-26</t>
  </si>
  <si>
    <t xml:space="preserve">Cohort Mar-26</t>
  </si>
  <si>
    <t xml:space="preserve">Cohort Apr-26</t>
  </si>
  <si>
    <t xml:space="preserve">Cohort May-26</t>
  </si>
  <si>
    <t xml:space="preserve">Cohort Jun-26</t>
  </si>
  <si>
    <t xml:space="preserve">Cohort Jul-26</t>
  </si>
  <si>
    <t xml:space="preserve">Cohort Aug-26</t>
  </si>
  <si>
    <t xml:space="preserve">Cohort Sep-26</t>
  </si>
  <si>
    <t xml:space="preserve">Cohort Oct-26</t>
  </si>
  <si>
    <t xml:space="preserve">Cohort Nov-26</t>
  </si>
  <si>
    <t xml:space="preserve">Cohort Dec-26</t>
  </si>
  <si>
    <t xml:space="preserve">Cohort Jan-27</t>
  </si>
  <si>
    <t xml:space="preserve">Cohort Feb-27</t>
  </si>
  <si>
    <t xml:space="preserve">Cohort Mar-27</t>
  </si>
  <si>
    <t xml:space="preserve">Cohort Apr-27</t>
  </si>
  <si>
    <t xml:space="preserve">Cohort May-27</t>
  </si>
  <si>
    <t xml:space="preserve">Cohort Jun-27</t>
  </si>
  <si>
    <t xml:space="preserve">Cohort Jul-27</t>
  </si>
  <si>
    <t xml:space="preserve">Cohort Aug-27</t>
  </si>
  <si>
    <t xml:space="preserve">Cohort Sep-27</t>
  </si>
  <si>
    <t xml:space="preserve">Cohort Oct-27</t>
  </si>
  <si>
    <t xml:space="preserve">Cohort Nov-27</t>
  </si>
  <si>
    <t xml:space="preserve">Cohort Dec-27</t>
  </si>
  <si>
    <t xml:space="preserve">ESSENTIALS MRR</t>
  </si>
  <si>
    <t xml:space="preserve">ESSENTIALS: CUSTOMERS BY COHORT</t>
  </si>
  <si>
    <t xml:space="preserve">A: billing system; F: logo churn by age</t>
  </si>
  <si>
    <t xml:space="preserve">ESSENTIALS CUSTOMERS</t>
  </si>
  <si>
    <t xml:space="preserve">ESSENTIALS: MRR BRIDGE (A: billing system; F: rates applied to the prior month; churn and contraction negative)</t>
  </si>
  <si>
    <t xml:space="preserve">age-band rates x prior MRR</t>
  </si>
  <si>
    <t xml:space="preserve">Expansion (locations added)</t>
  </si>
  <si>
    <t xml:space="preserve">rate x prior MRR</t>
  </si>
  <si>
    <t xml:space="preserve">Contraction (locations removed)</t>
  </si>
  <si>
    <t xml:space="preserve">Price (January list increase)</t>
  </si>
  <si>
    <t xml:space="preserve">applied after the month movements</t>
  </si>
  <si>
    <t xml:space="preserve">Closing MRR per the bridge</t>
  </si>
  <si>
    <t xml:space="preserve">Check: bridge less cohort total (must be zero)</t>
  </si>
  <si>
    <t xml:space="preserve">Check: customer bridge less cohort total (must be zero)</t>
  </si>
  <si>
    <t xml:space="preserve">PROFESSIONAL: MRR BY COHORT (EUR)</t>
  </si>
  <si>
    <t xml:space="preserve">Acquired before 2024, renewing in January</t>
  </si>
  <si>
    <t xml:space="preserve">A: billing system; F: renews on the anniversary</t>
  </si>
  <si>
    <t xml:space="preserve">Acquired before 2024, renewing in February</t>
  </si>
  <si>
    <t xml:space="preserve">Acquired before 2024, renewing in March</t>
  </si>
  <si>
    <t xml:space="preserve">Acquired before 2024, renewing in April</t>
  </si>
  <si>
    <t xml:space="preserve">Acquired before 2024, renewing in May</t>
  </si>
  <si>
    <t xml:space="preserve">Acquired before 2024, renewing in June</t>
  </si>
  <si>
    <t xml:space="preserve">Acquired before 2024, renewing in July</t>
  </si>
  <si>
    <t xml:space="preserve">Acquired before 2024, renewing in August</t>
  </si>
  <si>
    <t xml:space="preserve">Acquired before 2024, renewing in September</t>
  </si>
  <si>
    <t xml:space="preserve">Acquired before 2024, renewing in October</t>
  </si>
  <si>
    <t xml:space="preserve">Acquired before 2024, renewing in November</t>
  </si>
  <si>
    <t xml:space="preserve">Acquired before 2024, renewing in December</t>
  </si>
  <si>
    <t xml:space="preserve">PROFESSIONAL MRR</t>
  </si>
  <si>
    <t xml:space="preserve">PROFESSIONAL: CUSTOMERS BY COHORT</t>
  </si>
  <si>
    <t xml:space="preserve">PROFESSIONAL CUSTOMERS</t>
  </si>
  <si>
    <t xml:space="preserve">PROFESSIONAL: MRR BRIDGE (renewal effects on the anniversary; in-term expansion monthly)</t>
  </si>
  <si>
    <t xml:space="preserve">Churn at renewal</t>
  </si>
  <si>
    <t xml:space="preserve">Expansion (location growth at renewal and in-term add-ons)</t>
  </si>
  <si>
    <t xml:space="preserve">Downsell at renewal</t>
  </si>
  <si>
    <t xml:space="preserve">Price uplift at renewal</t>
  </si>
  <si>
    <t xml:space="preserve">Customers lost at renewal (count)</t>
  </si>
  <si>
    <t xml:space="preserve">PROFESSIONAL: BILLING AND DEFERRED REVENUE BY CONTRACT SCHEDULE (EUR ex VAT)</t>
  </si>
  <si>
    <t xml:space="preserve">PROFESSIONAL BILLING (annual in advance at start and renewal; add-ons pro rata to the anniversary)</t>
  </si>
  <si>
    <t xml:space="preserve">contract schedule</t>
  </si>
  <si>
    <t xml:space="preserve">Deferred revenue per contract schedule (MRR x unexpired prepaid months)</t>
  </si>
  <si>
    <t xml:space="preserve">ENTERPRISE: MRR, CUSTOMERS AND BILLING BY ACCOUNT (EXPECTED VALUES IN THE FORECAST)</t>
  </si>
  <si>
    <t xml:space="preserve">A: billing system. F: each live account renews on its anniversary at its renewal probability with indexation and location growth; pipeline deals start at their win probability; accounts not yet identified follow the run-rate on Assumptions.</t>
  </si>
  <si>
    <t xml:space="preserve">MRR BY ACCOUNT (EUR)</t>
  </si>
  <si>
    <t xml:space="preserve">E01 Marvessa Hotels</t>
  </si>
  <si>
    <t xml:space="preserve">A: billing system; F: renewal x probability</t>
  </si>
  <si>
    <t xml:space="preserve">E02 Velmira Hospitality</t>
  </si>
  <si>
    <t xml:space="preserve">E03 Tarbela Retail</t>
  </si>
  <si>
    <t xml:space="preserve">E04 Quirona Restauracion</t>
  </si>
  <si>
    <t xml:space="preserve">E05 Osterna Retail Group</t>
  </si>
  <si>
    <t xml:space="preserve">E06 Delvora Hotels</t>
  </si>
  <si>
    <t xml:space="preserve">E07 Hallowmere Inns</t>
  </si>
  <si>
    <t xml:space="preserve">E08 Corvena Supermercados</t>
  </si>
  <si>
    <t xml:space="preserve">E09 Luzmara Hoteles</t>
  </si>
  <si>
    <t xml:space="preserve">E10 Sanvero Restaurantes</t>
  </si>
  <si>
    <t xml:space="preserve">E11 Pradela Retail</t>
  </si>
  <si>
    <t xml:space="preserve">E12 Brandelo Cafes</t>
  </si>
  <si>
    <t xml:space="preserve">E13 Almerta Fashion</t>
  </si>
  <si>
    <t xml:space="preserve">E14 Tosquel Hotels</t>
  </si>
  <si>
    <t xml:space="preserve">E15 Varmena Group</t>
  </si>
  <si>
    <t xml:space="preserve">E16 Gresholt Leisure</t>
  </si>
  <si>
    <t xml:space="preserve">E17 Cantaleva Restauracion</t>
  </si>
  <si>
    <t xml:space="preserve">E18 Orvieta Retail</t>
  </si>
  <si>
    <t xml:space="preserve">E19 Salvedra Hoteles</t>
  </si>
  <si>
    <t xml:space="preserve">E20 Numara Hospitality</t>
  </si>
  <si>
    <t xml:space="preserve">E21 Belvarra Hotels</t>
  </si>
  <si>
    <t xml:space="preserve">E22 Ferrano Retail</t>
  </si>
  <si>
    <t xml:space="preserve">P01 Grupo Varnesca Restauracion (pipeline)</t>
  </si>
  <si>
    <t xml:space="preserve">win probability x MRR from the start</t>
  </si>
  <si>
    <t xml:space="preserve">P02 Stellmoor Hotels (pipeline)</t>
  </si>
  <si>
    <t xml:space="preserve">P03 Mirandel Retail (pipeline)</t>
  </si>
  <si>
    <t xml:space="preserve">P04 Vinhal Hoteis (pipeline)</t>
  </si>
  <si>
    <t xml:space="preserve">P05 Laureac Hotels (pipeline)</t>
  </si>
  <si>
    <t xml:space="preserve">P06 Solvenza Leisure (pipeline)</t>
  </si>
  <si>
    <t xml:space="preserve">Accounts not yet identified: new MRR in the month</t>
  </si>
  <si>
    <t xml:space="preserve">run-rate x MRR per account</t>
  </si>
  <si>
    <t xml:space="preserve">Accounts not yet identified: MRR</t>
  </si>
  <si>
    <t xml:space="preserve">cumulative</t>
  </si>
  <si>
    <t xml:space="preserve">ENTERPRISE MRR</t>
  </si>
  <si>
    <t xml:space="preserve">CUSTOMERS BY ACCOUNT (expected)</t>
  </si>
  <si>
    <t xml:space="preserve">E01</t>
  </si>
  <si>
    <t xml:space="preserve">E02</t>
  </si>
  <si>
    <t xml:space="preserve">E03</t>
  </si>
  <si>
    <t xml:space="preserve">E04</t>
  </si>
  <si>
    <t xml:space="preserve">E05</t>
  </si>
  <si>
    <t xml:space="preserve">E06</t>
  </si>
  <si>
    <t xml:space="preserve">E07</t>
  </si>
  <si>
    <t xml:space="preserve">E08</t>
  </si>
  <si>
    <t xml:space="preserve">E09</t>
  </si>
  <si>
    <t xml:space="preserve">E10</t>
  </si>
  <si>
    <t xml:space="preserve">E11</t>
  </si>
  <si>
    <t xml:space="preserve">E12</t>
  </si>
  <si>
    <t xml:space="preserve">E13</t>
  </si>
  <si>
    <t xml:space="preserve">E14</t>
  </si>
  <si>
    <t xml:space="preserve">E15</t>
  </si>
  <si>
    <t xml:space="preserve">E16</t>
  </si>
  <si>
    <t xml:space="preserve">E17</t>
  </si>
  <si>
    <t xml:space="preserve">E18</t>
  </si>
  <si>
    <t xml:space="preserve">E19</t>
  </si>
  <si>
    <t xml:space="preserve">E20</t>
  </si>
  <si>
    <t xml:space="preserve">E21</t>
  </si>
  <si>
    <t xml:space="preserve">E22</t>
  </si>
  <si>
    <t xml:space="preserve">P01 (pipeline)</t>
  </si>
  <si>
    <t xml:space="preserve">P02 (pipeline)</t>
  </si>
  <si>
    <t xml:space="preserve">P03 (pipeline)</t>
  </si>
  <si>
    <t xml:space="preserve">P04 (pipeline)</t>
  </si>
  <si>
    <t xml:space="preserve">P05 (pipeline)</t>
  </si>
  <si>
    <t xml:space="preserve">P06 (pipeline)</t>
  </si>
  <si>
    <t xml:space="preserve">Accounts not yet identified (count)</t>
  </si>
  <si>
    <t xml:space="preserve">ENTERPRISE CUSTOMERS</t>
  </si>
  <si>
    <t xml:space="preserve">BILLING BY ACCOUNT (EUR ex VAT; annual in advance at start and renewal, in-term additions pro rata)</t>
  </si>
  <si>
    <t xml:space="preserve">Accounts not yet identified</t>
  </si>
  <si>
    <t xml:space="preserve">12 x new MRR</t>
  </si>
  <si>
    <t xml:space="preserve">ENTERPRISE BILLING</t>
  </si>
  <si>
    <t xml:space="preserve">Onboarding fees invoiced</t>
  </si>
  <si>
    <t xml:space="preserve">A: sales ledger; F: at start x probability</t>
  </si>
  <si>
    <t xml:space="preserve">Output VAT on Enterprise invoices (accounts in Spain)</t>
  </si>
  <si>
    <t xml:space="preserve">billing and fees x 21% where the account is in Spain</t>
  </si>
  <si>
    <t xml:space="preserve">ENTERPRISE MRR BRIDGE (A: billing system; F: renewals at probability; churn negative)</t>
  </si>
  <si>
    <t xml:space="preserve">New accounts</t>
  </si>
  <si>
    <t xml:space="preserve">Expansion (location growth at renewal and in-term additions)</t>
  </si>
  <si>
    <t xml:space="preserve">Downsell</t>
  </si>
  <si>
    <t xml:space="preserve">Indexation at renewal</t>
  </si>
  <si>
    <t xml:space="preserve">Check: bridge less account total (must be zero)</t>
  </si>
  <si>
    <t xml:space="preserve">New accounts (count, expected)</t>
  </si>
  <si>
    <t xml:space="preserve">Accounts lost (count, expected)</t>
  </si>
  <si>
    <t xml:space="preserve">Check: account bridge less account total (must be zero)</t>
  </si>
  <si>
    <t xml:space="preserve">NEW BUSINESS: NEW CUSTOMERS, NEW MRR, ONBOARDING FEES AND THE COMMISSION BASE</t>
  </si>
  <si>
    <t xml:space="preserve">A: billing system and sales ledger. F: run-rates on Assumptions x seasonality x scenario factor; the FY2026 price list rises in January 2027 with the list price driver.</t>
  </si>
  <si>
    <t xml:space="preserve">ESSENTIALS</t>
  </si>
  <si>
    <t xml:space="preserve">A: billing system; F: run-rate x seasonality x factor</t>
  </si>
  <si>
    <t xml:space="preserve">MRR per new customer</t>
  </si>
  <si>
    <t xml:space="preserve">price list</t>
  </si>
  <si>
    <t xml:space="preserve">PROFESSIONAL</t>
  </si>
  <si>
    <t xml:space="preserve">A: sales ledger; F: new customers x fee</t>
  </si>
  <si>
    <t xml:space="preserve">ENTERPRISE (from the Enterprise sheet)</t>
  </si>
  <si>
    <t xml:space="preserve">New accounts (expected)</t>
  </si>
  <si>
    <t xml:space="preserve">of which accounts not yet identified</t>
  </si>
  <si>
    <t xml:space="preserve">TOTAL AND COMMISSION BASE</t>
  </si>
  <si>
    <t xml:space="preserve">NEW CUSTOMERS</t>
  </si>
  <si>
    <t xml:space="preserve">NEW MRR</t>
  </si>
  <si>
    <t xml:space="preserve">New ARR (12 x new MRR)</t>
  </si>
  <si>
    <t xml:space="preserve">First-year value of new Professional and Enterprise contracts</t>
  </si>
  <si>
    <t xml:space="preserve">Expansion value, Professional and Enterprise</t>
  </si>
  <si>
    <t xml:space="preserve">12 x expansion MRR</t>
  </si>
  <si>
    <t xml:space="preserve">PEOPLE: HEADCOUNT, PAYROLL IN 14 INSTALMENTS, SOCIAL SECURITY, IRPF, COMMISSIONS AND SEVERANCE (EUR)</t>
  </si>
  <si>
    <t xml:space="preserve">Bands on Assumptions. Salaries accrue at 1/12 a month; paid in 14 instalments with the extra payments in June and December. Employer social security on the monthly base (1/12 of salary) up to the maximum base, plus the solidarity contribution above it. A: payroll by department; F: bands.</t>
  </si>
  <si>
    <t xml:space="preserve">HEADCOUNT BY BAND (A: payroll; F: prior + planned hires - leavers + replacements - reductions)</t>
  </si>
  <si>
    <t xml:space="preserve">Engineering leadership (CTO and team leads)</t>
  </si>
  <si>
    <t xml:space="preserve">A: payroll</t>
  </si>
  <si>
    <t xml:space="preserve">Senior software engineers</t>
  </si>
  <si>
    <t xml:space="preserve">Software engineers</t>
  </si>
  <si>
    <t xml:space="preserve">Junior engineers and QA</t>
  </si>
  <si>
    <t xml:space="preserve">Product managers (incl. head of product)</t>
  </si>
  <si>
    <t xml:space="preserve">Product designers</t>
  </si>
  <si>
    <t xml:space="preserve">Customer support agents (incl. lead)</t>
  </si>
  <si>
    <t xml:space="preserve">Implementation and onboarding managers</t>
  </si>
  <si>
    <t xml:space="preserve">Customer success managers</t>
  </si>
  <si>
    <t xml:space="preserve">Head of sales</t>
  </si>
  <si>
    <t xml:space="preserve">Account executives (base salary)</t>
  </si>
  <si>
    <t xml:space="preserve">Sales development representatives</t>
  </si>
  <si>
    <t xml:space="preserve">Marketing (incl. head of marketing)</t>
  </si>
  <si>
    <t xml:space="preserve">Founders and executive team (CEO, COO)</t>
  </si>
  <si>
    <t xml:space="preserve">Finance, people and office</t>
  </si>
  <si>
    <t xml:space="preserve">TOTAL HEADCOUNT</t>
  </si>
  <si>
    <t xml:space="preserve">LEAVERS (forecast attrition, fractional FTE)</t>
  </si>
  <si>
    <t xml:space="preserve">prior headcount x annual rate / 12 x factor</t>
  </si>
  <si>
    <t xml:space="preserve">Hires in the month (planned, weighted by the flag)</t>
  </si>
  <si>
    <t xml:space="preserve">PAY BY BAND (forecast basis; actual months are memo, the ledger by department is used)</t>
  </si>
  <si>
    <t xml:space="preserve">ENG_L: salaries accrued</t>
  </si>
  <si>
    <t xml:space="preserve">headcount x salary / 12</t>
  </si>
  <si>
    <t xml:space="preserve">ENG_S: salaries accrued</t>
  </si>
  <si>
    <t xml:space="preserve">ENG_M: salaries accrued</t>
  </si>
  <si>
    <t xml:space="preserve">ENG_J: salaries accrued</t>
  </si>
  <si>
    <t xml:space="preserve">PRD_M: salaries accrued</t>
  </si>
  <si>
    <t xml:space="preserve">PRD_D: salaries accrued</t>
  </si>
  <si>
    <t xml:space="preserve">SUP: salaries accrued</t>
  </si>
  <si>
    <t xml:space="preserve">ONB: salaries accrued</t>
  </si>
  <si>
    <t xml:space="preserve">CSM: salaries accrued</t>
  </si>
  <si>
    <t xml:space="preserve">SAL_L: salaries accrued</t>
  </si>
  <si>
    <t xml:space="preserve">SAL_AE: salaries accrued</t>
  </si>
  <si>
    <t xml:space="preserve">SAL_SDR: salaries accrued</t>
  </si>
  <si>
    <t xml:space="preserve">MKT: salaries accrued</t>
  </si>
  <si>
    <t xml:space="preserve">GA_X: salaries accrued</t>
  </si>
  <si>
    <t xml:space="preserve">GA_S: salaries accrued</t>
  </si>
  <si>
    <t xml:space="preserve">ENG_L: employer social security</t>
  </si>
  <si>
    <t xml:space="preserve">base capped + solidarity</t>
  </si>
  <si>
    <t xml:space="preserve">ENG_S: employer social security</t>
  </si>
  <si>
    <t xml:space="preserve">ENG_M: employer social security</t>
  </si>
  <si>
    <t xml:space="preserve">ENG_J: employer social security</t>
  </si>
  <si>
    <t xml:space="preserve">PRD_M: employer social security</t>
  </si>
  <si>
    <t xml:space="preserve">PRD_D: employer social security</t>
  </si>
  <si>
    <t xml:space="preserve">SUP: employer social security</t>
  </si>
  <si>
    <t xml:space="preserve">ONB: employer social security</t>
  </si>
  <si>
    <t xml:space="preserve">CSM: employer social security</t>
  </si>
  <si>
    <t xml:space="preserve">SAL_L: employer social security</t>
  </si>
  <si>
    <t xml:space="preserve">SAL_AE: employer social security</t>
  </si>
  <si>
    <t xml:space="preserve">SAL_SDR: employer social security</t>
  </si>
  <si>
    <t xml:space="preserve">MKT: employer social security</t>
  </si>
  <si>
    <t xml:space="preserve">GA_X: employer social security</t>
  </si>
  <si>
    <t xml:space="preserve">GA_S: employer social security</t>
  </si>
  <si>
    <t xml:space="preserve">ENG_L: employee social security</t>
  </si>
  <si>
    <t xml:space="preserve">ENG_S: employee social security</t>
  </si>
  <si>
    <t xml:space="preserve">ENG_M: employee social security</t>
  </si>
  <si>
    <t xml:space="preserve">ENG_J: employee social security</t>
  </si>
  <si>
    <t xml:space="preserve">PRD_M: employee social security</t>
  </si>
  <si>
    <t xml:space="preserve">PRD_D: employee social security</t>
  </si>
  <si>
    <t xml:space="preserve">SUP: employee social security</t>
  </si>
  <si>
    <t xml:space="preserve">ONB: employee social security</t>
  </si>
  <si>
    <t xml:space="preserve">CSM: employee social security</t>
  </si>
  <si>
    <t xml:space="preserve">SAL_L: employee social security</t>
  </si>
  <si>
    <t xml:space="preserve">SAL_AE: employee social security</t>
  </si>
  <si>
    <t xml:space="preserve">SAL_SDR: employee social security</t>
  </si>
  <si>
    <t xml:space="preserve">MKT: employee social security</t>
  </si>
  <si>
    <t xml:space="preserve">GA_X: employee social security</t>
  </si>
  <si>
    <t xml:space="preserve">GA_S: employee social security</t>
  </si>
  <si>
    <t xml:space="preserve">ENG_L: extra payments accrued</t>
  </si>
  <si>
    <t xml:space="preserve">salary x 2/14 / 12</t>
  </si>
  <si>
    <t xml:space="preserve">ENG_S: extra payments accrued</t>
  </si>
  <si>
    <t xml:space="preserve">ENG_M: extra payments accrued</t>
  </si>
  <si>
    <t xml:space="preserve">ENG_J: extra payments accrued</t>
  </si>
  <si>
    <t xml:space="preserve">PRD_M: extra payments accrued</t>
  </si>
  <si>
    <t xml:space="preserve">PRD_D: extra payments accrued</t>
  </si>
  <si>
    <t xml:space="preserve">SUP: extra payments accrued</t>
  </si>
  <si>
    <t xml:space="preserve">ONB: extra payments accrued</t>
  </si>
  <si>
    <t xml:space="preserve">CSM: extra payments accrued</t>
  </si>
  <si>
    <t xml:space="preserve">SAL_L: extra payments accrued</t>
  </si>
  <si>
    <t xml:space="preserve">SAL_AE: extra payments accrued</t>
  </si>
  <si>
    <t xml:space="preserve">SAL_SDR: extra payments accrued</t>
  </si>
  <si>
    <t xml:space="preserve">MKT: extra payments accrued</t>
  </si>
  <si>
    <t xml:space="preserve">GA_X: extra payments accrued</t>
  </si>
  <si>
    <t xml:space="preserve">GA_S: extra payments accrued</t>
  </si>
  <si>
    <t xml:space="preserve">ENG_L: IRPF withheld on regular pay and extra payments</t>
  </si>
  <si>
    <t xml:space="preserve">ENG_S: IRPF withheld on regular pay and extra payments</t>
  </si>
  <si>
    <t xml:space="preserve">ENG_M: IRPF withheld on regular pay and extra payments</t>
  </si>
  <si>
    <t xml:space="preserve">ENG_J: IRPF withheld on regular pay and extra payments</t>
  </si>
  <si>
    <t xml:space="preserve">PRD_M: IRPF withheld on regular pay and extra payments</t>
  </si>
  <si>
    <t xml:space="preserve">PRD_D: IRPF withheld on regular pay and extra payments</t>
  </si>
  <si>
    <t xml:space="preserve">SUP: IRPF withheld on regular pay and extra payments</t>
  </si>
  <si>
    <t xml:space="preserve">ONB: IRPF withheld on regular pay and extra payments</t>
  </si>
  <si>
    <t xml:space="preserve">CSM: IRPF withheld on regular pay and extra payments</t>
  </si>
  <si>
    <t xml:space="preserve">SAL_L: IRPF withheld on regular pay and extra payments</t>
  </si>
  <si>
    <t xml:space="preserve">SAL_AE: IRPF withheld on regular pay and extra payments</t>
  </si>
  <si>
    <t xml:space="preserve">SAL_SDR: IRPF withheld on regular pay and extra payments</t>
  </si>
  <si>
    <t xml:space="preserve">MKT: IRPF withheld on regular pay and extra payments</t>
  </si>
  <si>
    <t xml:space="preserve">GA_X: IRPF withheld on regular pay and extra payments</t>
  </si>
  <si>
    <t xml:space="preserve">GA_S: IRPF withheld on regular pay and extra payments</t>
  </si>
  <si>
    <t xml:space="preserve">PAYROLL BY DEPARTMENT (A: payroll ledger; F: sum of bands)</t>
  </si>
  <si>
    <t xml:space="preserve">Engineering: headcount</t>
  </si>
  <si>
    <t xml:space="preserve">Engineering: salaries accrued</t>
  </si>
  <si>
    <t xml:space="preserve">Engineering: employer social security</t>
  </si>
  <si>
    <t xml:space="preserve">Engineering: PAYROLL COST</t>
  </si>
  <si>
    <t xml:space="preserve">salaries + employer social security</t>
  </si>
  <si>
    <t xml:space="preserve">Engineering: regular salaries paid (gross)</t>
  </si>
  <si>
    <t xml:space="preserve">Engineering: extra payments accrued</t>
  </si>
  <si>
    <t xml:space="preserve">Engineering: extra payments paid</t>
  </si>
  <si>
    <t xml:space="preserve">June and December</t>
  </si>
  <si>
    <t xml:space="preserve">Engineering: employee social security</t>
  </si>
  <si>
    <t xml:space="preserve">Engineering: IRPF withheld</t>
  </si>
  <si>
    <t xml:space="preserve">Engineering: net pay</t>
  </si>
  <si>
    <t xml:space="preserve">Product and design: headcount</t>
  </si>
  <si>
    <t xml:space="preserve">Product and design: salaries accrued</t>
  </si>
  <si>
    <t xml:space="preserve">Product and design: employer social security</t>
  </si>
  <si>
    <t xml:space="preserve">Product and design: PAYROLL COST</t>
  </si>
  <si>
    <t xml:space="preserve">Product and design: regular salaries paid (gross)</t>
  </si>
  <si>
    <t xml:space="preserve">Product and design: extra payments accrued</t>
  </si>
  <si>
    <t xml:space="preserve">Product and design: extra payments paid</t>
  </si>
  <si>
    <t xml:space="preserve">Product and design: employee social security</t>
  </si>
  <si>
    <t xml:space="preserve">Product and design: IRPF withheld</t>
  </si>
  <si>
    <t xml:space="preserve">Product and design: net pay</t>
  </si>
  <si>
    <t xml:space="preserve">Customer support: headcount</t>
  </si>
  <si>
    <t xml:space="preserve">Customer support: salaries accrued</t>
  </si>
  <si>
    <t xml:space="preserve">Customer support: employer social security</t>
  </si>
  <si>
    <t xml:space="preserve">Customer support: PAYROLL COST</t>
  </si>
  <si>
    <t xml:space="preserve">Customer support: regular salaries paid (gross)</t>
  </si>
  <si>
    <t xml:space="preserve">Customer support: extra payments accrued</t>
  </si>
  <si>
    <t xml:space="preserve">Customer support: extra payments paid</t>
  </si>
  <si>
    <t xml:space="preserve">Customer support: employee social security</t>
  </si>
  <si>
    <t xml:space="preserve">Customer support: IRPF withheld</t>
  </si>
  <si>
    <t xml:space="preserve">Customer support: net pay</t>
  </si>
  <si>
    <t xml:space="preserve">Implementation and onboarding: headcount</t>
  </si>
  <si>
    <t xml:space="preserve">Implementation and onboarding: salaries accrued</t>
  </si>
  <si>
    <t xml:space="preserve">Implementation and onboarding: employer social security</t>
  </si>
  <si>
    <t xml:space="preserve">Implementation and onboarding: PAYROLL COST</t>
  </si>
  <si>
    <t xml:space="preserve">Implementation and onboarding: regular salaries paid (gross)</t>
  </si>
  <si>
    <t xml:space="preserve">Implementation and onboarding: extra payments accrued</t>
  </si>
  <si>
    <t xml:space="preserve">Implementation and onboarding: extra payments paid</t>
  </si>
  <si>
    <t xml:space="preserve">Implementation and onboarding: employee social security</t>
  </si>
  <si>
    <t xml:space="preserve">Implementation and onboarding: IRPF withheld</t>
  </si>
  <si>
    <t xml:space="preserve">Implementation and onboarding: net pay</t>
  </si>
  <si>
    <t xml:space="preserve">Customer success: headcount</t>
  </si>
  <si>
    <t xml:space="preserve">Customer success: salaries accrued</t>
  </si>
  <si>
    <t xml:space="preserve">Customer success: employer social security</t>
  </si>
  <si>
    <t xml:space="preserve">Customer success: PAYROLL COST</t>
  </si>
  <si>
    <t xml:space="preserve">Customer success: regular salaries paid (gross)</t>
  </si>
  <si>
    <t xml:space="preserve">Customer success: extra payments accrued</t>
  </si>
  <si>
    <t xml:space="preserve">Customer success: extra payments paid</t>
  </si>
  <si>
    <t xml:space="preserve">Customer success: employee social security</t>
  </si>
  <si>
    <t xml:space="preserve">Customer success: IRPF withheld</t>
  </si>
  <si>
    <t xml:space="preserve">Customer success: net pay</t>
  </si>
  <si>
    <t xml:space="preserve">Sales: headcount</t>
  </si>
  <si>
    <t xml:space="preserve">Sales: salaries accrued</t>
  </si>
  <si>
    <t xml:space="preserve">Sales: employer social security</t>
  </si>
  <si>
    <t xml:space="preserve">Sales: PAYROLL COST</t>
  </si>
  <si>
    <t xml:space="preserve">Sales: regular salaries paid (gross)</t>
  </si>
  <si>
    <t xml:space="preserve">Sales: extra payments accrued</t>
  </si>
  <si>
    <t xml:space="preserve">Sales: extra payments paid</t>
  </si>
  <si>
    <t xml:space="preserve">Sales: employee social security</t>
  </si>
  <si>
    <t xml:space="preserve">Sales: IRPF withheld</t>
  </si>
  <si>
    <t xml:space="preserve">Sales: net pay</t>
  </si>
  <si>
    <t xml:space="preserve">Marketing: headcount</t>
  </si>
  <si>
    <t xml:space="preserve">Marketing: salaries accrued</t>
  </si>
  <si>
    <t xml:space="preserve">Marketing: employer social security</t>
  </si>
  <si>
    <t xml:space="preserve">Marketing: PAYROLL COST</t>
  </si>
  <si>
    <t xml:space="preserve">Marketing: regular salaries paid (gross)</t>
  </si>
  <si>
    <t xml:space="preserve">Marketing: extra payments accrued</t>
  </si>
  <si>
    <t xml:space="preserve">Marketing: extra payments paid</t>
  </si>
  <si>
    <t xml:space="preserve">Marketing: employee social security</t>
  </si>
  <si>
    <t xml:space="preserve">Marketing: IRPF withheld</t>
  </si>
  <si>
    <t xml:space="preserve">Marketing: net pay</t>
  </si>
  <si>
    <t xml:space="preserve">General and administrative: headcount</t>
  </si>
  <si>
    <t xml:space="preserve">General and administrative: salaries accrued</t>
  </si>
  <si>
    <t xml:space="preserve">General and administrative: employer social security</t>
  </si>
  <si>
    <t xml:space="preserve">General and administrative: PAYROLL COST</t>
  </si>
  <si>
    <t xml:space="preserve">General and administrative: regular salaries paid (gross)</t>
  </si>
  <si>
    <t xml:space="preserve">General and administrative: extra payments accrued</t>
  </si>
  <si>
    <t xml:space="preserve">General and administrative: extra payments paid</t>
  </si>
  <si>
    <t xml:space="preserve">General and administrative: employee social security</t>
  </si>
  <si>
    <t xml:space="preserve">General and administrative: IRPF withheld</t>
  </si>
  <si>
    <t xml:space="preserve">General and administrative: net pay</t>
  </si>
  <si>
    <t xml:space="preserve">COMMISSIONS (account executives)</t>
  </si>
  <si>
    <t xml:space="preserve">Commissions earned</t>
  </si>
  <si>
    <t xml:space="preserve">A: statements; F: rates x new and expansion value</t>
  </si>
  <si>
    <t xml:space="preserve">Employer social security on commissions earned</t>
  </si>
  <si>
    <t xml:space="preserve">Commissions paid (gross, with the next payroll)</t>
  </si>
  <si>
    <t xml:space="preserve">IRPF withheld on commissions</t>
  </si>
  <si>
    <t xml:space="preserve">Employee social security on commissions</t>
  </si>
  <si>
    <t xml:space="preserve">Commissions paid, net</t>
  </si>
  <si>
    <t xml:space="preserve">TOTALS, SOCIAL SECURITY PAYABLE, EXTRA PAYMENTS ACCRUED, SEVERANCE</t>
  </si>
  <si>
    <t xml:space="preserve">Salaries accrued</t>
  </si>
  <si>
    <t xml:space="preserve">Employer social security</t>
  </si>
  <si>
    <t xml:space="preserve">Social security due for the month (employer and employee, incl. commissions)</t>
  </si>
  <si>
    <t xml:space="preserve">Social security paid (month before)</t>
  </si>
  <si>
    <t xml:space="preserve">A: bank</t>
  </si>
  <si>
    <t xml:space="preserve">SOCIAL SECURITY PAYABLE</t>
  </si>
  <si>
    <t xml:space="preserve">Extra payments accrued</t>
  </si>
  <si>
    <t xml:space="preserve">Extra payments paid</t>
  </si>
  <si>
    <t xml:space="preserve">ACCRUED EXTRA PAYMENTS</t>
  </si>
  <si>
    <t xml:space="preserve">zero after the June and December payrolls</t>
  </si>
  <si>
    <t xml:space="preserve">IRPF withheld (to the modelo 111)</t>
  </si>
  <si>
    <t xml:space="preserve">Net pay (salaries, extra payments and commissions)</t>
  </si>
  <si>
    <t xml:space="preserve">Severance on the headcount reduction</t>
  </si>
  <si>
    <t xml:space="preserve">FTE x 20 days per year of service</t>
  </si>
  <si>
    <t xml:space="preserve">Recruitment cost of planned hires and replacements</t>
  </si>
  <si>
    <t xml:space="preserve">hires x cost</t>
  </si>
  <si>
    <t xml:space="preserve">Research and development headcount</t>
  </si>
  <si>
    <t xml:space="preserve">Sales and marketing headcount</t>
  </si>
  <si>
    <t xml:space="preserve">Support, onboarding and success headcount</t>
  </si>
  <si>
    <t xml:space="preserve">CAPITALISED DEVELOPMENT (IAS 38) AND CAPITALISED COMMISSIONS (IFRS 15.91)</t>
  </si>
  <si>
    <t xml:space="preserve">Development: the share of engineering payroll spent on new modules meeting IAS 38.57, amortised over 36 months from the month after. Contract costs: commissions and the employer social security on them, amortised over the 48-month expected customer life.</t>
  </si>
  <si>
    <t xml:space="preserve">CAPITALISED DEVELOPMENT</t>
  </si>
  <si>
    <t xml:space="preserve">Capitalised in the month</t>
  </si>
  <si>
    <t xml:space="preserve">A: journal; F: share x engineering payroll cost</t>
  </si>
  <si>
    <t xml:space="preserve">Amortisation of development capitalised before 2026</t>
  </si>
  <si>
    <t xml:space="preserve">fixed asset register</t>
  </si>
  <si>
    <t xml:space="preserve">Amortisation of development capitalised from 2026</t>
  </si>
  <si>
    <t xml:space="preserve">additions / life, from the month after</t>
  </si>
  <si>
    <t xml:space="preserve">AMORTISATION</t>
  </si>
  <si>
    <t xml:space="preserve">CAPITALISED DEVELOPMENT, NET BOOK VALUE</t>
  </si>
  <si>
    <t xml:space="preserve">CAPITALISED CONTRACT COSTS (commissions)</t>
  </si>
  <si>
    <t xml:space="preserve">Capitalised in the month (commissions + employer social security)</t>
  </si>
  <si>
    <t xml:space="preserve">Amortisation of commissions capitalised before 2026</t>
  </si>
  <si>
    <t xml:space="preserve">contract cost register</t>
  </si>
  <si>
    <t xml:space="preserve">Amortisation of commissions capitalised from 2026</t>
  </si>
  <si>
    <t xml:space="preserve">additions / 48, from the month after</t>
  </si>
  <si>
    <t xml:space="preserve">AMORTISATION (in sales and marketing)</t>
  </si>
  <si>
    <t xml:space="preserve">CAPITALISED CONTRACT COSTS</t>
  </si>
  <si>
    <t xml:space="preserve">RECEIVABLES, CARD PAYOUTS, CREDIT LOSSES AND DEBTOR DAYS (EUR incl. VAT)</t>
  </si>
  <si>
    <t xml:space="preserve">Essentials is charged by card monthly in advance on each billing date and paid out net of fees within days. Professional and Enterprise: the receivable at each forecast month end is the invoicing still inside the collection days on Assumptions (plus the scenario slip); receipts are the balancing figure, so a slip delays cash without collecting any invoice twice. The overdue Brandelo invoice follows its own drivers.</t>
  </si>
  <si>
    <t xml:space="preserve">ESSENTIALS: CARD CHARGES</t>
  </si>
  <si>
    <t xml:space="preserve">Charges incl. VAT</t>
  </si>
  <si>
    <t xml:space="preserve">A: processor statement; F: rate x charges + fee x customers</t>
  </si>
  <si>
    <t xml:space="preserve">Payouts received (charges less fees)</t>
  </si>
  <si>
    <t xml:space="preserve">A: bank; F: charges less fees</t>
  </si>
  <si>
    <t xml:space="preserve">CARD PROCESSOR BALANCE (charges not yet paid out)</t>
  </si>
  <si>
    <t xml:space="preserve">opening + charges - fees - payouts</t>
  </si>
  <si>
    <t xml:space="preserve">Invoiced incl. VAT</t>
  </si>
  <si>
    <t xml:space="preserve">Receivable per the collection days (forecast rule)</t>
  </si>
  <si>
    <t xml:space="preserve">invoicing still inside the days</t>
  </si>
  <si>
    <t xml:space="preserve">Cash received</t>
  </si>
  <si>
    <t xml:space="preserve">A: bank; F: opening + invoiced - receivable per the rule</t>
  </si>
  <si>
    <t xml:space="preserve">Written off</t>
  </si>
  <si>
    <t xml:space="preserve">A: ledger</t>
  </si>
  <si>
    <t xml:space="preserve">RECEIVABLE: PROFESSIONAL</t>
  </si>
  <si>
    <t xml:space="preserve">ENTERPRISE</t>
  </si>
  <si>
    <t xml:space="preserve">Brandelo June renewal invoice still open</t>
  </si>
  <si>
    <t xml:space="preserve">A: from June; F: until collected or written off</t>
  </si>
  <si>
    <t xml:space="preserve">Receivable on current invoices per the collection days (forecast rule)</t>
  </si>
  <si>
    <t xml:space="preserve">Cash received on current invoices</t>
  </si>
  <si>
    <t xml:space="preserve">A: bank; F: opening current balance + invoiced - receivable per the rule</t>
  </si>
  <si>
    <t xml:space="preserve">Brandelo invoice collected</t>
  </si>
  <si>
    <t xml:space="preserve">drivers: month and share</t>
  </si>
  <si>
    <t xml:space="preserve">rest of the Brandelo invoice</t>
  </si>
  <si>
    <t xml:space="preserve">RECEIVABLE: ENTERPRISE</t>
  </si>
  <si>
    <t xml:space="preserve">CREDIT LOSSES AND DEBTOR DAYS</t>
  </si>
  <si>
    <t xml:space="preserve">Receivables, gross</t>
  </si>
  <si>
    <t xml:space="preserve">Expected credit loss provision</t>
  </si>
  <si>
    <t xml:space="preserve">rate x gross receivables</t>
  </si>
  <si>
    <t xml:space="preserve">CHARGE: bad debts and expected credit losses</t>
  </si>
  <si>
    <t xml:space="preserve">write-offs + provision movement</t>
  </si>
  <si>
    <t xml:space="preserve">Trade receivables, net</t>
  </si>
  <si>
    <t xml:space="preserve">Debtor days (gross receivables / invoicing of the last three months x days)</t>
  </si>
  <si>
    <t xml:space="preserve">TOTAL CASH RECEIVED FROM CUSTOMERS</t>
  </si>
  <si>
    <t xml:space="preserve">AGED RECEIVABLES AT THE LAST ACTUAL MONTH (EUR, incl. VAT where charged)</t>
  </si>
  <si>
    <t xml:space="preserve">Open invoices aged by due date. Group totals must agree with the ledger. Essentials is charged by card and carries no receivable; the card processor balance sits on the balance sheet.</t>
  </si>
  <si>
    <t xml:space="preserve">As at</t>
  </si>
  <si>
    <t xml:space="preserve">Counterparty (fictional)</t>
  </si>
  <si>
    <t xml:space="preserve">Item / document</t>
  </si>
  <si>
    <t xml:space="preserve">Group</t>
  </si>
  <si>
    <t xml:space="preserve">Amount (EUR)</t>
  </si>
  <si>
    <t xml:space="preserve">Due date</t>
  </si>
  <si>
    <t xml:space="preserve">Days past due</t>
  </si>
  <si>
    <t xml:space="preserve">Not yet due</t>
  </si>
  <si>
    <t xml:space="preserve">1 to 30</t>
  </si>
  <si>
    <t xml:space="preserve">31 to 60</t>
  </si>
  <si>
    <t xml:space="preserve">61 to 90</t>
  </si>
  <si>
    <t xml:space="preserve">Over 90</t>
  </si>
  <si>
    <t xml:space="preserve">Action / note</t>
  </si>
  <si>
    <t xml:space="preserve">Professional plan customers</t>
  </si>
  <si>
    <t xml:space="preserve">August invoices: renewals, new contracts and location add-ons</t>
  </si>
  <si>
    <t xml:space="preserve">30-day terms; transfer or direct debit.</t>
  </si>
  <si>
    <t xml:space="preserve">July invoices, balance still open</t>
  </si>
  <si>
    <t xml:space="preserve">Reminders on day 3; card payment offered.</t>
  </si>
  <si>
    <t xml:space="preserve">Enterprise accounts (July renewals)</t>
  </si>
  <si>
    <t xml:space="preserve">July invoices, balance not yet due</t>
  </si>
  <si>
    <t xml:space="preserve">Enterprise accounts</t>
  </si>
  <si>
    <t xml:space="preserve">Paid in the September payment runs of the accounts.</t>
  </si>
  <si>
    <t xml:space="preserve">Brandelo Cafes</t>
  </si>
  <si>
    <t xml:space="preserve">June renewal invoice, unpaid</t>
  </si>
  <si>
    <t xml:space="preserve">Overdue: the account asks to cut 30% of its locations before paying; dispute meeting set for September.</t>
  </si>
  <si>
    <t xml:space="preserve">Share of total</t>
  </si>
  <si>
    <t xml:space="preserve">Professional customers: aging vs ledger</t>
  </si>
  <si>
    <t xml:space="preserve">Ledger balance</t>
  </si>
  <si>
    <t xml:space="preserve">Difference</t>
  </si>
  <si>
    <t xml:space="preserve">Enterprise accounts: aging vs ledger</t>
  </si>
  <si>
    <t xml:space="preserve">AGED PAYABLES AT THE LAST ACTUAL MONTH (EUR)</t>
  </si>
  <si>
    <t xml:space="preserve">Open supplier balances aged by due date. Group totals must agree with the Payables schedule.</t>
  </si>
  <si>
    <t xml:space="preserve">Cloud provider and software vendors</t>
  </si>
  <si>
    <t xml:space="preserve">August invoices (hosting, messaging, software licences)</t>
  </si>
  <si>
    <t xml:space="preserve">Cloud and software</t>
  </si>
  <si>
    <t xml:space="preserve">Charged to the company card on the 5th; reverse charge, no VAT on the invoice.</t>
  </si>
  <si>
    <t xml:space="preserve">Search and social media platforms</t>
  </si>
  <si>
    <t xml:space="preserve">August media, second half</t>
  </si>
  <si>
    <t xml:space="preserve">Billed twice a month; reverse charge.</t>
  </si>
  <si>
    <t xml:space="preserve">Spanish suppliers</t>
  </si>
  <si>
    <t xml:space="preserve">August invoices (events, advisers, recruitment, travel, equipment), incl. VAT</t>
  </si>
  <si>
    <t xml:space="preserve">30-day terms.</t>
  </si>
  <si>
    <t xml:space="preserve">Events agency</t>
  </si>
  <si>
    <t xml:space="preserve">May trade fair stand, balance held</t>
  </si>
  <si>
    <t xml:space="preserve">Held pending a credit note for extras not delivered.</t>
  </si>
  <si>
    <t xml:space="preserve">Cloud and software: aging vs schedule</t>
  </si>
  <si>
    <t xml:space="preserve">Paid media: aging vs schedule</t>
  </si>
  <si>
    <t xml:space="preserve">Spanish suppliers: aging vs schedule</t>
  </si>
  <si>
    <t xml:space="preserve">TRADE PAYABLES AND SUPPLIER PAYMENTS (EUR)</t>
  </si>
  <si>
    <t xml:space="preserve">Cloud and software: charged to the card on the 5th of the next month. Paid media: billed twice a month. Spanish suppliers (incl. VAT and equipment): 30 days. Rent is paid in advance (Overheads).</t>
  </si>
  <si>
    <t xml:space="preserve">CLOUD AND SOFTWARE (reverse charge, no VAT on the invoice)</t>
  </si>
  <si>
    <t xml:space="preserve">Invoices</t>
  </si>
  <si>
    <t xml:space="preserve">hosting, third-party, tools</t>
  </si>
  <si>
    <t xml:space="preserve">Paid</t>
  </si>
  <si>
    <t xml:space="preserve">A: bank; F: prior month</t>
  </si>
  <si>
    <t xml:space="preserve">Payable</t>
  </si>
  <si>
    <t xml:space="preserve">PAID MEDIA</t>
  </si>
  <si>
    <t xml:space="preserve">A: bank; F: prior balance + half of the month</t>
  </si>
  <si>
    <t xml:space="preserve">SPANISH SUPPLIERS (incl. VAT and equipment)</t>
  </si>
  <si>
    <t xml:space="preserve">Invoices incl. VAT</t>
  </si>
  <si>
    <t xml:space="preserve">A: bank; F: prior balance</t>
  </si>
  <si>
    <t xml:space="preserve">TOTAL TRADE PAYABLES</t>
  </si>
  <si>
    <t xml:space="preserve">VAT (IVA): MONTHLY POSITION, QUARTERLY RETURNS IN 2026 AND MONTHLY RETURNS FROM 2027 IF A LARGE COMPANY (EUR)</t>
  </si>
  <si>
    <t xml:space="preserve">Output VAT on Spanish customers; input VAT on Spanish purchases and equipment; reverse charge self-assessed both ways. 2026: quarterly modelo 303 paid in January, April, July and October. From January 2027 monthly if FY2026 volume exceeds EUR 6,010,121.04 (Assumptions).</t>
  </si>
  <si>
    <t xml:space="preserve">Output VAT on invoices</t>
  </si>
  <si>
    <t xml:space="preserve">Reverse charge: output self-assessed</t>
  </si>
  <si>
    <t xml:space="preserve">Input VAT: Spanish purchases</t>
  </si>
  <si>
    <t xml:space="preserve">Input VAT: equipment</t>
  </si>
  <si>
    <t xml:space="preserve">Reverse charge: input deducted</t>
  </si>
  <si>
    <t xml:space="preserve">NET VAT FOR THE MONTH</t>
  </si>
  <si>
    <t xml:space="preserve">VAT paid (modelo 303)</t>
  </si>
  <si>
    <t xml:space="preserve">A: bank; F: calendar</t>
  </si>
  <si>
    <t xml:space="preserve">VAT PAYABLE</t>
  </si>
  <si>
    <t xml:space="preserve">Unpaid returns per the calendar</t>
  </si>
  <si>
    <t xml:space="preserve">current quarter, or current month when monthly</t>
  </si>
  <si>
    <t xml:space="preserve">Check: VAT payable less unpaid returns (must be zero)</t>
  </si>
  <si>
    <t xml:space="preserve">SII in force (invoices reported to the tax agency within 4 days)</t>
  </si>
  <si>
    <t xml:space="preserve">WITHHOLDING (MODELOS 111 AND 115) AND CORPORATE INCOME TAX (EUR)</t>
  </si>
  <si>
    <t xml:space="preserve">IRPF withheld from salaries and rent withholding are paid quarterly in 2026 and monthly from 2027 if a large company. Corporate income tax on the year-to-date taxable profit after tax losses brought forward (70% limit, EUR 1m always allowed); no deferred tax asset recognised.</t>
  </si>
  <si>
    <t xml:space="preserve">IRPF WITHHELD (MODELO 111)</t>
  </si>
  <si>
    <t xml:space="preserve">Withheld in the month</t>
  </si>
  <si>
    <t xml:space="preserve">IRPF PAYABLE</t>
  </si>
  <si>
    <t xml:space="preserve">Unpaid withholding per the calendar</t>
  </si>
  <si>
    <t xml:space="preserve">Check: payable less unpaid withholding (must be zero)</t>
  </si>
  <si>
    <t xml:space="preserve">RENT WITHHOLDING (MODELO 115)</t>
  </si>
  <si>
    <t xml:space="preserve">RENT WITHHOLDING PAYABLE</t>
  </si>
  <si>
    <t xml:space="preserve">CORPORATE INCOME TAX</t>
  </si>
  <si>
    <t xml:space="preserve">Profit before tax</t>
  </si>
  <si>
    <t xml:space="preserve">Taxable profit year to date before losses brought forward</t>
  </si>
  <si>
    <t xml:space="preserve">Tax losses available at the start of the year</t>
  </si>
  <si>
    <t xml:space="preserve">Tax losses used year to date</t>
  </si>
  <si>
    <t xml:space="preserve">Corporate income tax year to date</t>
  </si>
  <si>
    <t xml:space="preserve">CHARGE FOR THE MONTH (P&amp;L)</t>
  </si>
  <si>
    <t xml:space="preserve">Paid (payments on account nil; FY2026 return due by 25-Jul-27)</t>
  </si>
  <si>
    <t xml:space="preserve">CORPORATE INCOME TAX PAYABLE</t>
  </si>
  <si>
    <t xml:space="preserve">OVERHEADS: COST LINES, VAT CLASS AND RENT WITHHOLDING (EUR ex VAT)</t>
  </si>
  <si>
    <t xml:space="preserve">A: ledger. F: the FY2026 level on Assumptions, driven by MRR (hosting, third-party), headcount (tools) or hires (recruitment); overhead inflation from FY2027; marketing programmes x the scenario factor in FY2027.</t>
  </si>
  <si>
    <t xml:space="preserve">COST LINES</t>
  </si>
  <si>
    <t xml:space="preserve">Hosting and infrastructure (cloud provider)</t>
  </si>
  <si>
    <t xml:space="preserve">reverse charge</t>
  </si>
  <si>
    <t xml:space="preserve">Software and IT tools (all teams)</t>
  </si>
  <si>
    <t xml:space="preserve">Spanish VAT 21%</t>
  </si>
  <si>
    <t xml:space="preserve">exempt</t>
  </si>
  <si>
    <t xml:space="preserve">half with Spanish VAT</t>
  </si>
  <si>
    <t xml:space="preserve">TOTAL OVERHEADS</t>
  </si>
  <si>
    <t xml:space="preserve">VAT AND WITHHOLDING</t>
  </si>
  <si>
    <t xml:space="preserve">Input VAT on Spanish purchases</t>
  </si>
  <si>
    <t xml:space="preserve">lines with Spanish VAT</t>
  </si>
  <si>
    <t xml:space="preserve">Reverse charge on services from non-established suppliers (self-assessed, nets to zero)</t>
  </si>
  <si>
    <t xml:space="preserve">Rent withholding (19%, modelo 115)</t>
  </si>
  <si>
    <t xml:space="preserve">Rent paid to the landlord (in advance, incl. VAT, net of withholding)</t>
  </si>
  <si>
    <t xml:space="preserve">FIXED ASSETS: IT EQUIPMENT AND OFFICE FIT-OUT (EUR)</t>
  </si>
  <si>
    <t xml:space="preserve">A: asset register. F: equipment for each hire plus the replacement cycle; depreciation straight line from the month after.</t>
  </si>
  <si>
    <t xml:space="preserve">Capex: IT equipment</t>
  </si>
  <si>
    <t xml:space="preserve">A: register; F: hires x equipment + replacement</t>
  </si>
  <si>
    <t xml:space="preserve">Depreciation of assets held at 31-Dec-25</t>
  </si>
  <si>
    <t xml:space="preserve">register</t>
  </si>
  <si>
    <t xml:space="preserve">Depreciation of additions (36 months)</t>
  </si>
  <si>
    <t xml:space="preserve">DEPRECIATION</t>
  </si>
  <si>
    <t xml:space="preserve">FIXED ASSETS, NET BOOK VALUE</t>
  </si>
  <si>
    <t xml:space="preserve">FINANCING: VENTURE DEBT AND EQUITY (EUR)</t>
  </si>
  <si>
    <t xml:space="preserve">Fictional lender. EUR 2.0m drawn Jul-25; 12 months interest only; 36 equal monthly instalments from Aug-26; fixed rate; minimum cash covenant EUR 1.0m. No new equity in any scenario (the CFO report sizes the need).</t>
  </si>
  <si>
    <t xml:space="preserve">Opening balance</t>
  </si>
  <si>
    <t xml:space="preserve">Principal repaid</t>
  </si>
  <si>
    <t xml:space="preserve">A: bank; F: schedule</t>
  </si>
  <si>
    <t xml:space="preserve">VENTURE DEBT</t>
  </si>
  <si>
    <t xml:space="preserve">A: bank; F: opening x rate / 12</t>
  </si>
  <si>
    <t xml:space="preserve">Current portion (next 12 months)</t>
  </si>
  <si>
    <t xml:space="preserve">Non-current portion</t>
  </si>
  <si>
    <t xml:space="preserve">Covenant headroom: cash less minimum cash</t>
  </si>
  <si>
    <t xml:space="preserve">ENTERPRISE ACCOUNT REGISTER AND PIPELINE (FICTIONAL)</t>
  </si>
  <si>
    <t xml:space="preserve">One row per Enterprise account and named opportunity. Blue = input (contract terms, probabilities). Black = derived. Renewal probabilities apply at each anniversary; win probabilities to pipeline deals.</t>
  </si>
  <si>
    <t xml:space="preserve">Account (fictional)</t>
  </si>
  <si>
    <t xml:space="preserve">Country</t>
  </si>
  <si>
    <t xml:space="preserve">VAT rate on invoices</t>
  </si>
  <si>
    <t xml:space="preserve">Contract start (month)</t>
  </si>
  <si>
    <t xml:space="preserve">Start month no.</t>
  </si>
  <si>
    <t xml:space="preserve">MRR at 31-Dec-25 (live accounts) or at signature (pipeline)</t>
  </si>
  <si>
    <t xml:space="preserve">Onboarding fee</t>
  </si>
  <si>
    <t xml:space="preserve">Probability Base (renewal or win)</t>
  </si>
  <si>
    <t xml:space="preserve">Probability Downside</t>
  </si>
  <si>
    <t xml:space="preserve">Probability Upside</t>
  </si>
  <si>
    <t xml:space="preserve">Probability selected</t>
  </si>
  <si>
    <t xml:space="preserve">Location growth at renewal</t>
  </si>
  <si>
    <t xml:space="preserve">Effective start month no. (pipeline delay)</t>
  </si>
  <si>
    <t xml:space="preserve">Renewal month</t>
  </si>
  <si>
    <t xml:space="preserve">MRR at the last actual month</t>
  </si>
  <si>
    <t xml:space="preserve">Subscription revenue FY2026</t>
  </si>
  <si>
    <t xml:space="preserve">Subscription revenue FY2027</t>
  </si>
  <si>
    <t xml:space="preserve">Share of FY2026 subscription revenue</t>
  </si>
  <si>
    <t xml:space="preserve">Account note (fictional)</t>
  </si>
  <si>
    <t xml:space="preserve">Marvessa Hotels</t>
  </si>
  <si>
    <t xml:space="preserve">ES</t>
  </si>
  <si>
    <t xml:space="preserve">Live</t>
  </si>
  <si>
    <t xml:space="preserve">Largest account. Renews in January 2027; the group has opened a review of its technology suppliers for 2027.</t>
  </si>
  <si>
    <t xml:space="preserve">Velmira Hospitality</t>
  </si>
  <si>
    <t xml:space="preserve">Tarbela Retail</t>
  </si>
  <si>
    <t xml:space="preserve">Quirona Restauracion</t>
  </si>
  <si>
    <t xml:space="preserve">Osterna Retail Group</t>
  </si>
  <si>
    <t xml:space="preserve">PT</t>
  </si>
  <si>
    <t xml:space="preserve">Lost at the Feb-26 renewal</t>
  </si>
  <si>
    <t xml:space="preserve">Did not renew in February 2026: moved to a lower-priced bundle offered by its point-of-sale provider.</t>
  </si>
  <si>
    <t xml:space="preserve">Delvora Hotels</t>
  </si>
  <si>
    <t xml:space="preserve">IT</t>
  </si>
  <si>
    <t xml:space="preserve">Hallowmere Inns</t>
  </si>
  <si>
    <t xml:space="preserve">UK</t>
  </si>
  <si>
    <t xml:space="preserve">Corvena Supermercados</t>
  </si>
  <si>
    <t xml:space="preserve">Luzmara Hoteles</t>
  </si>
  <si>
    <t xml:space="preserve">Sanvero Restaurantes</t>
  </si>
  <si>
    <t xml:space="preserve">Pradela Retail</t>
  </si>
  <si>
    <t xml:space="preserve">June 2026 renewal invoice unpaid: the account wants to cut 30% of its locations before paying; dispute meeting set for September.</t>
  </si>
  <si>
    <t xml:space="preserve">Almerta Fashion</t>
  </si>
  <si>
    <t xml:space="preserve">Tosquel Hotels</t>
  </si>
  <si>
    <t xml:space="preserve">FR</t>
  </si>
  <si>
    <t xml:space="preserve">Varmena Group</t>
  </si>
  <si>
    <t xml:space="preserve">Gresholt Leisure</t>
  </si>
  <si>
    <t xml:space="preserve">Cantaleva Restauracion</t>
  </si>
  <si>
    <t xml:space="preserve">Orvieta Retail</t>
  </si>
  <si>
    <t xml:space="preserve">Salvedra Hoteles</t>
  </si>
  <si>
    <t xml:space="preserve">Numara Hospitality</t>
  </si>
  <si>
    <t xml:space="preserve">Belvarra Hotels</t>
  </si>
  <si>
    <t xml:space="preserve">Won in 2026</t>
  </si>
  <si>
    <t xml:space="preserve">Won in April 2026: the largest new account of the year.</t>
  </si>
  <si>
    <t xml:space="preserve">Ferrano Retail</t>
  </si>
  <si>
    <t xml:space="preserve">Won in July 2026.</t>
  </si>
  <si>
    <t xml:space="preserve">P01</t>
  </si>
  <si>
    <t xml:space="preserve">Grupo Varnesca Restauracion</t>
  </si>
  <si>
    <t xml:space="preserve">Pipeline</t>
  </si>
  <si>
    <t xml:space="preserve">Proposal submitted; start in November 2026 if won.</t>
  </si>
  <si>
    <t xml:space="preserve">P02</t>
  </si>
  <si>
    <t xml:space="preserve">Stellmoor Hotels</t>
  </si>
  <si>
    <t xml:space="preserve">Pilot running at two hotels.</t>
  </si>
  <si>
    <t xml:space="preserve">P03</t>
  </si>
  <si>
    <t xml:space="preserve">Mirandel Retail</t>
  </si>
  <si>
    <t xml:space="preserve">Commercial negotiation.</t>
  </si>
  <si>
    <t xml:space="preserve">P04</t>
  </si>
  <si>
    <t xml:space="preserve">Vinhal Hoteis</t>
  </si>
  <si>
    <t xml:space="preserve">Discovery.</t>
  </si>
  <si>
    <t xml:space="preserve">P05</t>
  </si>
  <si>
    <t xml:space="preserve">Laureac Hotels</t>
  </si>
  <si>
    <t xml:space="preserve">Shortlisted in a tender with two competitors.</t>
  </si>
  <si>
    <t xml:space="preserve">P06</t>
  </si>
  <si>
    <t xml:space="preserve">Solvenza Leisure</t>
  </si>
  <si>
    <t xml:space="preserve">Live accounts: probability = renewal probability at each anniversary; Won in 2026 accounts renew from 2027. Pipeline: probability = win probability; the first renewal of a won deal uses the probability on Assumptions. The MRR column total covers the accounts live at 31-Dec-25. Names are invented.</t>
  </si>
  <si>
    <t xml:space="preserve">TURNOVAL SOFTWARE S.L. (FICTIONAL DEMONSTRATION COMPANY)</t>
  </si>
  <si>
    <t xml:space="preserve">ASSUMPTIONS, TIMELINE AND SCENARIO DRIVERS</t>
  </si>
  <si>
    <t xml:space="preserve">Every input lives here, on Inputs_Actuals, History, the Account_Register or Budget_FY26. Blue on yellow = input. Black = formula. Green = link to another sheet.</t>
  </si>
  <si>
    <t xml:space="preserve">GENERAL</t>
  </si>
  <si>
    <t xml:space="preserve">Company name</t>
  </si>
  <si>
    <t xml:space="preserve">Turnoval Software S.L. (fictional demonstration company)</t>
  </si>
  <si>
    <t xml:space="preserve">All figures fictional. Spanish limited company (S.L.) in Valencia, financial year = calendar year, reporting currency EUR; every customer is invoiced in EUR.</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</si>
  <si>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</si>
  <si>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</si>
  <si>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</si>
  <si>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</si>
  <si>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</si>
  <si>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</si>
  <si>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</si>
  <si>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</si>
  <si>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</si>
  <si>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input</t>
  </si>
  <si>
    <t xml:space="preserve">Change this cell and every forecast month moves. Base = management case; Downside = worst case; Upside = best case.</t>
  </si>
  <si>
    <t xml:space="preserve">Scenario name</t>
  </si>
  <si>
    <t xml:space="preserve">Minimum cash: venture debt covenant (board floor)</t>
  </si>
  <si>
    <t xml:space="preserve">Minimum cash covenant of the venture debt; the board treats it as the floor</t>
  </si>
  <si>
    <t xml:space="preserve">No overdraft or revolving facility; the venture debt is fully drawn</t>
  </si>
  <si>
    <t xml:space="preserve">Aged receivables and payables: as-at date</t>
  </si>
  <si>
    <t xml:space="preserve">TAX (SPAIN), VERIFIED AGAINST PRIMARY SOURCES ON 23-SEP-26</t>
  </si>
  <si>
    <t xml:space="preserve">VAT (IVA): general rate</t>
  </si>
  <si>
    <t xml:space="preserve">rate</t>
  </si>
  <si>
    <t xml:space="preserve">AEAT, Tipos impositivos en el IVA 2026 (Ley 37/1992 art. 90.Uno). Charged to customers in Spain only.</t>
  </si>
  <si>
    <t xml:space="preserve">VAT on subscriptions sold to businesses abroad</t>
  </si>
  <si>
    <t xml:space="preserve">Services to businesses established in another EU state or outside the EU are not subject to Spanish VAT (place of supply); the customer accounts for it (reverse charge). EU sales go in the modelo 349 (key S). Services bought from non-established suppliers are self-assessed in the modelo 303 (AEAT, Prestaciones de servicios).</t>
  </si>
  <si>
    <t xml:space="preserve">Essentials: share of billing to customers in Spain (21% VAT)</t>
  </si>
  <si>
    <t xml:space="preserve">share</t>
  </si>
  <si>
    <t xml:space="preserve">Billing system analysis (fictional)</t>
  </si>
  <si>
    <t xml:space="preserve">Essentials: share of billing to customers in other EU states (reverse charge)</t>
  </si>
  <si>
    <t xml:space="preserve">Essentials: share of billing to customers in United Kingdom (outside the scope)</t>
  </si>
  <si>
    <t xml:space="preserve">Professional: share of billing to customers in Spain (21% VAT)</t>
  </si>
  <si>
    <t xml:space="preserve">Professional: share of billing to customers in other EU states (reverse charge)</t>
  </si>
  <si>
    <t xml:space="preserve">Professional: share of billing to customers in United Kingdom (outside the scope)</t>
  </si>
  <si>
    <t xml:space="preserve">Enterprise accounts not yet identified: share invoiced with Spanish VAT</t>
  </si>
  <si>
    <t xml:space="preserve">Current Enterprise book: about half of billing is to Spanish accounts</t>
  </si>
  <si>
    <t xml:space="preserve">Large company threshold (gran empresa): volume of operations in the prior year</t>
  </si>
  <si>
    <t xml:space="preserve">AEAT: above this, from the next year VAT (303) and withholding (111, 115) returns are monthly and the SII is mandatory; services not subject to Spanish VAT because of the place-of-supply rules count towards the volume (AEAT manual, DGT V0959-04, TEAC 00/266/2006)</t>
  </si>
  <si>
    <t xml:space="preserve">FY2026 volume of operations (approximated by invoicing ex VAT)</t>
  </si>
  <si>
    <t xml:space="preserve">Large company from 1 January 2027 (1 = monthly returns and SII)</t>
  </si>
  <si>
    <t xml:space="preserve">VAT and withholding calendar</t>
  </si>
  <si>
    <t xml:space="preserve">Quarterly 303, 111 and 115: 1 to 20 April, July and October; the fourth quarter to 30 January (303) or 20 January (111, 115). Monthly 303: 1 to 30 of the next month (January by the end of February); monthly 111 and 115: first 20 days of the next month (AEAT).</t>
  </si>
  <si>
    <t xml:space="preserve">Corporate income tax rate FY2026 (entity of reduced size, turnover below EUR 10m)</t>
  </si>
  <si>
    <t xml:space="preserve">AEAT: 24% (2025), 23% (2026), 22% (2027), 21% from 2028 (Ley 7/2024); general rate 25%</t>
  </si>
  <si>
    <t xml:space="preserve">Corporate income tax rate FY2027</t>
  </si>
  <si>
    <t xml:space="preserve">AEAT, Tipos de gravamen</t>
  </si>
  <si>
    <t xml:space="preserve">Tax losses carried forward at 31-Dec-25 (bases imponibles negativas)</t>
  </si>
  <si>
    <t xml:space="preserve">FY2025 corporate income tax return (fictional)</t>
  </si>
  <si>
    <t xml:space="preserve">Tax losses: offset limit (share of the taxable base before offset)</t>
  </si>
  <si>
    <t xml:space="preserve">AEAT: 70% of the base, EUR 1m always allowed, no time limit (Ley 27/2014 art. 26)</t>
  </si>
  <si>
    <t xml:space="preserve">Tax losses: amount always allowed per year</t>
  </si>
  <si>
    <t xml:space="preserve">Withholding on office rent (modelo 115)</t>
  </si>
  <si>
    <t xml:space="preserve">AEAT: 19% general withholding rate on rents of urban property; paid on the 111 calendar</t>
  </si>
  <si>
    <t xml:space="preserve">Corporate income tax payments</t>
  </si>
  <si>
    <t xml:space="preserve">Payments on account (modelo 202) in the first 20 days of April, October and December; nil while the last assessed tax is nil. Annual return (modelo 200) within 25 days after six months from the year end: by 25 July (AEAT).</t>
  </si>
  <si>
    <t xml:space="preserve">SOCIAL SECURITY (ORDEN PJC/297/2026 FOR 2026; 2027 RATES AND CEILING ARE ASSUMPTIONS UNTIL THE 2027 ORDER)</t>
  </si>
  <si>
    <t xml:space="preserve">Common contingencies, employer</t>
  </si>
  <si>
    <t xml:space="preserve">BOE, Orden PJC/297/2026: 28.30% of which 23.60% employer, 4.70% employee</t>
  </si>
  <si>
    <t xml:space="preserve">Common contingencies, employee</t>
  </si>
  <si>
    <t xml:space="preserve">Intergenerational equity (MEI) 2026, employer</t>
  </si>
  <si>
    <t xml:space="preserve">BOE: 0.90% of which 0.75% employer, 0.15% employee</t>
  </si>
  <si>
    <t xml:space="preserve">MEI 2026, employee</t>
  </si>
  <si>
    <t xml:space="preserve">MEI 2027, employer</t>
  </si>
  <si>
    <t xml:space="preserve">Assumption: 1.00% in 2027 on the path set by Real Decreto-ley 2/2023, split as in 2026</t>
  </si>
  <si>
    <t xml:space="preserve">MEI 2027, employee</t>
  </si>
  <si>
    <t xml:space="preserve">Unemployment, permanent contracts, employer</t>
  </si>
  <si>
    <t xml:space="preserve">Mutua guidance on the 2026 order (Asepeyo): 5.50% employer, 1.55% employee</t>
  </si>
  <si>
    <t xml:space="preserve">Unemployment, employee</t>
  </si>
  <si>
    <t xml:space="preserve">Wage guarantee fund (FOGASA), employer</t>
  </si>
  <si>
    <t xml:space="preserve">0.20%</t>
  </si>
  <si>
    <t xml:space="preserve">Vocational training, employer</t>
  </si>
  <si>
    <t xml:space="preserve">0.60% employer, 0.10% employee</t>
  </si>
  <si>
    <t xml:space="preserve">Vocational training, employee</t>
  </si>
  <si>
    <t xml:space="preserve">Work accident and occupational disease premium (AT/EP), employer</t>
  </si>
  <si>
    <t xml:space="preserve">Assumption: 1.50% for software activities; the tariff moved to CNAE-2025 codes from 1-Jan-26 (Real Decreto-ley 16/2025); information needed: the mutua rate for the company code</t>
  </si>
  <si>
    <t xml:space="preserve">Employer rate 2026 on the contribution base</t>
  </si>
  <si>
    <t xml:space="preserve">Employer rate 2027 on the contribution base</t>
  </si>
  <si>
    <t xml:space="preserve">Employee rate 2026</t>
  </si>
  <si>
    <t xml:space="preserve">Employee rate 2027</t>
  </si>
  <si>
    <t xml:space="preserve">Maximum contribution base 2026 (per month, incl. the pro rata of extra payments)</t>
  </si>
  <si>
    <t xml:space="preserve">BOE, Orden PJC/297/2026</t>
  </si>
  <si>
    <t xml:space="preserve">Maximum contribution base 2027 (per month)</t>
  </si>
  <si>
    <t xml:space="preserve">Assumption: 2026 base plus the pension revaluation (assumed 2.5%) plus 1.2 points (Real Decreto-ley 2/2023)</t>
  </si>
  <si>
    <t xml:space="preserve">Solidarity contribution 2026, tranche 1, employer</t>
  </si>
  <si>
    <t xml:space="preserve">BOE: 1.15%, 1.25%, 1.46% on pay above the maximum base (to 110%, 110% to 150%, above 150%), employer 0.96%, 1.04%, 1.22%</t>
  </si>
  <si>
    <t xml:space="preserve">Solidarity contribution 2026, tranche 2, employer</t>
  </si>
  <si>
    <t xml:space="preserve">Solidarity contribution 2026, tranche 3, employer</t>
  </si>
  <si>
    <t xml:space="preserve">Solidarity contribution 2026, tranche 1, employee</t>
  </si>
  <si>
    <t xml:space="preserve">Solidarity contribution 2026, tranche 2, employee</t>
  </si>
  <si>
    <t xml:space="preserve">Solidarity contribution 2026, tranche 3, employee</t>
  </si>
  <si>
    <t xml:space="preserve">Solidarity contribution 2027, tranche 1, employer</t>
  </si>
  <si>
    <t xml:space="preserve">Assumption: the 2025 to 2026 step repeated (1.38%, 1.50%, 1.75%), split as in 2026</t>
  </si>
  <si>
    <t xml:space="preserve">Solidarity contribution 2027, tranche 2, employer</t>
  </si>
  <si>
    <t xml:space="preserve">Solidarity contribution 2027, tranche 3, employer</t>
  </si>
  <si>
    <t xml:space="preserve">Solidarity contribution 2027, tranche 1, employee</t>
  </si>
  <si>
    <t xml:space="preserve">Solidarity contribution 2027, tranche 2, employee</t>
  </si>
  <si>
    <t xml:space="preserve">Solidarity contribution 2027, tranche 3, employee</t>
  </si>
  <si>
    <t xml:space="preserve">Payment dates</t>
  </si>
  <si>
    <t xml:space="preserve">Salaries on the last working day; two extra payments a year in June and December (Estatuto de los Trabajadores art. 31), accrued monthly. Social security for a month is paid in the following month, debited on its last working day (Orden TAS/1562/2005). IRPF withheld goes on the 111.</t>
  </si>
  <si>
    <t xml:space="preserve">Severance on objective dismissal: days of salary per year of service</t>
  </si>
  <si>
    <t xml:space="preserve">days</t>
  </si>
  <si>
    <t xml:space="preserve">Estatuto de los Trabajadores art. 53.1.b: 20 days per year, maximum 12 months; 15 days notice. Collective procedure from 10 dismissals in 90 days below 100 staff (art. 51.1)</t>
  </si>
  <si>
    <t xml:space="preserve">Average years of service of the roles in the Downside reduction</t>
  </si>
  <si>
    <t xml:space="preserve">years</t>
  </si>
  <si>
    <t xml:space="preserve">HR records (fictional)</t>
  </si>
  <si>
    <t xml:space="preserve">PEOPLE: PAY BANDS (FY2026 salaries paid in 14 instalments; fictional payroll analysis)</t>
  </si>
  <si>
    <t xml:space="preserve">Band</t>
  </si>
  <si>
    <t xml:space="preserve">Department</t>
  </si>
  <si>
    <t xml:space="preserve">Annual salary FY2026</t>
  </si>
  <si>
    <t xml:space="preserve">IRPF withheld (average)</t>
  </si>
  <si>
    <t xml:space="preserve">Headcount 31-Dec-25</t>
  </si>
  <si>
    <t xml:space="preserve">Share of the Downside reduction</t>
  </si>
  <si>
    <t xml:space="preserve">Note</t>
  </si>
  <si>
    <t xml:space="preserve">ENG_L</t>
  </si>
  <si>
    <t xml:space="preserve">ENG</t>
  </si>
  <si>
    <t xml:space="preserve">Above the maximum contribution base: solidarity contribution applies</t>
  </si>
  <si>
    <t xml:space="preserve">ENG_S</t>
  </si>
  <si>
    <t xml:space="preserve">ENG_M</t>
  </si>
  <si>
    <t xml:space="preserve">ENG_J</t>
  </si>
  <si>
    <t xml:space="preserve">PRD_M</t>
  </si>
  <si>
    <t xml:space="preserve">PRD</t>
  </si>
  <si>
    <t xml:space="preserve">PRD_D</t>
  </si>
  <si>
    <t xml:space="preserve">SUP</t>
  </si>
  <si>
    <t xml:space="preserve">ONB</t>
  </si>
  <si>
    <t xml:space="preserve">CSM</t>
  </si>
  <si>
    <t xml:space="preserve">SAL_L</t>
  </si>
  <si>
    <t xml:space="preserve">SAL</t>
  </si>
  <si>
    <t xml:space="preserve">SAL_AE</t>
  </si>
  <si>
    <t xml:space="preserve">SAL_SDR</t>
  </si>
  <si>
    <t xml:space="preserve">MKT</t>
  </si>
  <si>
    <t xml:space="preserve">GA_X</t>
  </si>
  <si>
    <t xml:space="preserve">GA</t>
  </si>
  <si>
    <t xml:space="preserve">GA_S</t>
  </si>
  <si>
    <t xml:space="preserve">Every band sits wholly on one side of the maximum contribution base, so contributions per head are exact. Account executives earn commission on top (capitalised, see Capitalised_Costs).</t>
  </si>
  <si>
    <t xml:space="preserve">Attrition a year, base: engineering</t>
  </si>
  <si>
    <t xml:space="preserve">Company history and market norm for the role (company assumption)</t>
  </si>
  <si>
    <t xml:space="preserve">Attrition a year, base: product and design</t>
  </si>
  <si>
    <t xml:space="preserve">Attrition a year, base: customer support</t>
  </si>
  <si>
    <t xml:space="preserve">Attrition a year, base: implementation and onboarding</t>
  </si>
  <si>
    <t xml:space="preserve">Attrition a year, base: customer success</t>
  </si>
  <si>
    <t xml:space="preserve">Attrition a year, base: sales</t>
  </si>
  <si>
    <t xml:space="preserve">Attrition a year, base: marketing</t>
  </si>
  <si>
    <t xml:space="preserve">Attrition a year, base: general and administrative</t>
  </si>
  <si>
    <t xml:space="preserve">Leavers replaced after (months)</t>
  </si>
  <si>
    <t xml:space="preserve">months</t>
  </si>
  <si>
    <t xml:space="preserve">Development capitalised: share of engineering payroll cost (IAS 38.57)</t>
  </si>
  <si>
    <t xml:space="preserve">Time records of engineers on new modules that meet the IAS 38.57 tests (fictional); amortised over 36 months from the month after</t>
  </si>
  <si>
    <t xml:space="preserve">Capitalised development: useful life</t>
  </si>
  <si>
    <t xml:space="preserve">Capitalised commissions: amortisation period (expected customer life)</t>
  </si>
  <si>
    <t xml:space="preserve">IFRS 15.91 to 15.99: incremental costs of obtaining a contract, amortised over the expected customer life including renewals</t>
  </si>
  <si>
    <t xml:space="preserve">Sales commission on first-year value of new Professional and Enterprise contracts</t>
  </si>
  <si>
    <t xml:space="preserve">Commission plan FY2026 (fictional); paid the month after signature</t>
  </si>
  <si>
    <t xml:space="preserve">Sales commission on expansion value</t>
  </si>
  <si>
    <t xml:space="preserve">Equipment per new hire</t>
  </si>
  <si>
    <t xml:space="preserve">IT replacement cycle, capex per month</t>
  </si>
  <si>
    <t xml:space="preserve">Recruitment cost per hire (job boards and agency share)</t>
  </si>
  <si>
    <t xml:space="preserve">Software and IT tools per person per month</t>
  </si>
  <si>
    <t xml:space="preserve">REVENUE ENGINE: ESSENTIALS (monthly card billing) AND PROFESSIONAL (annual prepaid)</t>
  </si>
  <si>
    <t xml:space="preserve">Essentials: MRR churn a month, customers in months 1 to 3</t>
  </si>
  <si>
    <t xml:space="preserve">FY2026 year-to-date experience by age band (billing system)</t>
  </si>
  <si>
    <t xml:space="preserve">Essentials: customer (logo) churn a month, months 1 to 3</t>
  </si>
  <si>
    <t xml:space="preserve">Essentials: MRR churn a month, customers in months 4 to 12</t>
  </si>
  <si>
    <t xml:space="preserve">Essentials: customer (logo) churn a month, months 4 to 12</t>
  </si>
  <si>
    <t xml:space="preserve">Essentials: MRR churn a month, customers in month 13 onwards</t>
  </si>
  <si>
    <t xml:space="preserve">Essentials: customer (logo) churn a month, month 13 onwards</t>
  </si>
  <si>
    <t xml:space="preserve">Essentials: expansion a month (locations added), share of MRR</t>
  </si>
  <si>
    <t xml:space="preserve">Essentials: contraction a month (locations removed), share of MRR</t>
  </si>
  <si>
    <t xml:space="preserve">Essentials: new customers a month before seasonality</t>
  </si>
  <si>
    <t xml:space="preserve">customers</t>
  </si>
  <si>
    <t xml:space="preserve">FY2026 year-to-date run-rate; budget assumed 36</t>
  </si>
  <si>
    <t xml:space="preserve">Essentials: MRR per new customer, FY2026 price list</t>
  </si>
  <si>
    <t xml:space="preserve">About 4.2 locations at the list price per location</t>
  </si>
  <si>
    <t xml:space="preserve">Professional: MRR churn at the first renewal</t>
  </si>
  <si>
    <t xml:space="preserve">Renewals are annual: churn, downsell, price uplift and location growth happen at the anniversary; in-term the customer can only add locations (billed pro rata)</t>
  </si>
  <si>
    <t xml:space="preserve">Professional: MRR churn at later renewals</t>
  </si>
  <si>
    <t xml:space="preserve">Professional: customer churn at the first renewal</t>
  </si>
  <si>
    <t xml:space="preserve">Professional: customer churn at later renewals</t>
  </si>
  <si>
    <t xml:space="preserve">Professional: downsell at the first renewal (share of retained MRR)</t>
  </si>
  <si>
    <t xml:space="preserve">Professional: downsell at later renewals</t>
  </si>
  <si>
    <t xml:space="preserve">Professional: location growth at the first renewal</t>
  </si>
  <si>
    <t xml:space="preserve">Professional: location growth at later renewals</t>
  </si>
  <si>
    <t xml:space="preserve">Professional: in-term expansion a month (share of MRR, billed pro rata to the anniversary)</t>
  </si>
  <si>
    <t xml:space="preserve">Professional: new customers a month before seasonality</t>
  </si>
  <si>
    <t xml:space="preserve">FY2026 year-to-date run-rate; budget assumed 5.5</t>
  </si>
  <si>
    <t xml:space="preserve">Professional: MRR per new customer, FY2026 price list</t>
  </si>
  <si>
    <t xml:space="preserve">About 23 locations at the list price</t>
  </si>
  <si>
    <t xml:space="preserve">Professional: onboarding fee per new customer</t>
  </si>
  <si>
    <t xml:space="preserve">Not a distinct service: recognised over the first 12 months (IFRS 15.B48 to B51)</t>
  </si>
  <si>
    <t xml:space="preserve">List price increase applied in January 2026 (actual)</t>
  </si>
  <si>
    <t xml:space="preserve">Essentials: every subscription in January; Professional: at each renewal in the year</t>
  </si>
  <si>
    <t xml:space="preserve">Enterprise contractual indexation at renewal, 2026</t>
  </si>
  <si>
    <t xml:space="preserve">REVENUE ENGINE: ENTERPRISE (named accounts on the Account_Register)</t>
  </si>
  <si>
    <t xml:space="preserve">Enterprise: renewal probability of accounts won in the forecast (first renewal)</t>
  </si>
  <si>
    <t xml:space="preserve">probability</t>
  </si>
  <si>
    <t xml:space="preserve">Enterprise accounts not yet identified: MRR per account</t>
  </si>
  <si>
    <t xml:space="preserve">Average of the last eight Enterprise wins</t>
  </si>
  <si>
    <t xml:space="preserve">Enterprise accounts not yet identified: onboarding fee</t>
  </si>
  <si>
    <t xml:space="preserve">Enterprise accounts not yet identified: first month</t>
  </si>
  <si>
    <t xml:space="preserve">After the named pipeline; the sales requirement shows on New_Business</t>
  </si>
  <si>
    <t xml:space="preserve">COLLECTIONS AND PAYMENT TERMS</t>
  </si>
  <si>
    <t xml:space="preserve">Professional: days from invoice to cash</t>
  </si>
  <si>
    <t xml:space="preserve">Receipts in a month = invoices of the prior month and the month before, in proportion to the days (actual pattern Jan-26 to Aug-26)</t>
  </si>
  <si>
    <t xml:space="preserve">Enterprise: days from invoice to cash</t>
  </si>
  <si>
    <t xml:space="preserve">45-day terms; accounts pay in their month-end runs</t>
  </si>
  <si>
    <t xml:space="preserve">Essentials card processing: percentage of each charge</t>
  </si>
  <si>
    <t xml:space="preserve">Stripe published Spain prices: EEA standard cards 1.5% + EUR 0.25, premium EEA 2.8%, UK cards 2.5%, plus Billing 0.7% of recurring volume; blended for the card mix (company analysis)</t>
  </si>
  <si>
    <t xml:space="preserve">Essentials card processing: fixed fee per charge</t>
  </si>
  <si>
    <t xml:space="preserve">Expected credit loss rate on receivables, actual months</t>
  </si>
  <si>
    <t xml:space="preserve">Overdue Enterprise invoice at the last actual month (Brandelo Cafes, June renewal)</t>
  </si>
  <si>
    <t xml:space="preserve">See AR_Aging; collection month and share are scenario drivers</t>
  </si>
  <si>
    <t xml:space="preserve">OVERHEADS (EUR a month ex VAT, FY2026 level; forecast grows with the overhead inflation from FY2027)</t>
  </si>
  <si>
    <t xml:space="preserve">Hosting: fixed platform cost</t>
  </si>
  <si>
    <t xml:space="preserve">Cloud provider invoices (fictional)</t>
  </si>
  <si>
    <t xml:space="preserve">Hosting: variable, share of MRR</t>
  </si>
  <si>
    <t xml:space="preserve">Third-party services: share of MRR</t>
  </si>
  <si>
    <t xml:space="preserve">Messaging, maps and payroll connectors</t>
  </si>
  <si>
    <t xml:space="preserve">Paid media a month</t>
  </si>
  <si>
    <t xml:space="preserve">FY2026 run-rate</t>
  </si>
  <si>
    <t xml:space="preserve">Events, content and agencies a month</t>
  </si>
  <si>
    <t xml:space="preserve">Office rent a month (Valencia)</t>
  </si>
  <si>
    <t xml:space="preserve">Lease to Dec-28, indexed each January</t>
  </si>
  <si>
    <t xml:space="preserve">Audit, legal and tax advisers a month</t>
  </si>
  <si>
    <t xml:space="preserve">Audit fee billed in March (x 2.4)</t>
  </si>
  <si>
    <t xml:space="preserve">Insurance a month</t>
  </si>
  <si>
    <t xml:space="preserve">Exempt from VAT</t>
  </si>
  <si>
    <t xml:space="preserve">Travel and other costs a month</t>
  </si>
  <si>
    <t xml:space="preserve">Half carries recoverable Spanish VAT</t>
  </si>
  <si>
    <t xml:space="preserve">Overhead inflation applied from FY2027</t>
  </si>
  <si>
    <t xml:space="preserve">FINANCING</t>
  </si>
  <si>
    <t xml:space="preserve">Venture debt: fixed interest rate</t>
  </si>
  <si>
    <t xml:space="preserve">Loan agreement Jul-25 (fictional lender): EUR 2.0m, 12 months interest only, then 36 equal monthly instalments; minimum cash covenant EUR 1.0m</t>
  </si>
  <si>
    <t xml:space="preserve">Venture debt: monthly principal from the first instalment</t>
  </si>
  <si>
    <t xml:space="preserve">Venture debt: first principal instalment</t>
  </si>
  <si>
    <t xml:space="preserve">SCENARIO DRIVERS  (C = Base, D = Downside, E = Upside, F = selected, G = YTD actual reference)</t>
  </si>
  <si>
    <t xml:space="preserve">Driver</t>
  </si>
  <si>
    <t xml:space="preserve">Selected</t>
  </si>
  <si>
    <t xml:space="preserve">Essentials: new customers (x run-rate)</t>
  </si>
  <si>
    <t xml:space="preserve">Professional: new customers (x run-rate)</t>
  </si>
  <si>
    <t xml:space="preserve">Enterprise pipeline: start delay</t>
  </si>
  <si>
    <t xml:space="preserve">Win probabilities by deal sit on the Account_Register</t>
  </si>
  <si>
    <t xml:space="preserve">Essentials: churn and contraction (x YTD rates)</t>
  </si>
  <si>
    <t xml:space="preserve">Professional: churn and downsell at renewal (x YTD rates)</t>
  </si>
  <si>
    <t xml:space="preserve">Expansion and location growth (x base rates)</t>
  </si>
  <si>
    <t xml:space="preserve">List price increase January 2027 (Essentials all, Professional at renewal, new customers)</t>
  </si>
  <si>
    <t xml:space="preserve">Enterprise indexation at renewal, 2027</t>
  </si>
  <si>
    <t xml:space="preserve">Enterprise accounts not yet identified: new accounts a month</t>
  </si>
  <si>
    <t xml:space="preserve">accounts</t>
  </si>
  <si>
    <t xml:space="preserve">Pay review January 2027</t>
  </si>
  <si>
    <t xml:space="preserve">Company assumption; information needed: the approved pay review</t>
  </si>
  <si>
    <t xml:space="preserve">Planned hires made (share of the hiring plan on People)</t>
  </si>
  <si>
    <t xml:space="preserve">Downside: half the plan, the rest frozen</t>
  </si>
  <si>
    <t xml:space="preserve">Leavers replaced (share)</t>
  </si>
  <si>
    <t xml:space="preserve">Attrition (x base rates)</t>
  </si>
  <si>
    <t xml:space="preserve">Fewer people leave in a weak market</t>
  </si>
  <si>
    <t xml:space="preserve">Headcount reduction (management response)</t>
  </si>
  <si>
    <t xml:space="preserve">FTE</t>
  </si>
  <si>
    <t xml:space="preserve">Downside: individual objective dismissals (below the collective threshold) with statutory severance</t>
  </si>
  <si>
    <t xml:space="preserve">Headcount reduction: first month without the leavers</t>
  </si>
  <si>
    <t xml:space="preserve">Marketing programmes FY2027 (x FY2026 run-rate)</t>
  </si>
  <si>
    <t xml:space="preserve">Professional and Enterprise: extra days to collect</t>
  </si>
  <si>
    <t xml:space="preserve">Expected credit loss rate on receivables, forecast</t>
  </si>
  <si>
    <t xml:space="preserve">Overdue Brandelo invoice: share collected</t>
  </si>
  <si>
    <t xml:space="preserve">The rest is written off in the same month</t>
  </si>
  <si>
    <t xml:space="preserve">Overdue Brandelo invoice: month settled</t>
  </si>
  <si>
    <t xml:space="preserve">TIMELINE (24 months)</t>
  </si>
  <si>
    <t xml:space="preserve">Month end date</t>
  </si>
  <si>
    <t xml:space="preserve">Financial year</t>
  </si>
  <si>
    <t xml:space="preserve">Calendar month</t>
  </si>
  <si>
    <t xml:space="preserve">Days in month</t>
  </si>
  <si>
    <t xml:space="preserve">Months after the last actual month (growth compounding base)</t>
  </si>
  <si>
    <t xml:space="preserve">Pay and overhead inflation factor</t>
  </si>
  <si>
    <t xml:space="preserve">Overhead inflation factor</t>
  </si>
  <si>
    <t xml:space="preserve">New customer seasonality (index, 12-month average = 1)</t>
  </si>
  <si>
    <t xml:space="preserve">Essentials price increase applied in the month</t>
  </si>
  <si>
    <t xml:space="preserve">Professional price uplift at renewals in the month</t>
  </si>
  <si>
    <t xml:space="preserve">Enterprise indexation at renewals in the month</t>
  </si>
  <si>
    <t xml:space="preserve">List price factor for new customers (1 in FY2026)</t>
  </si>
  <si>
    <t xml:space="preserve">Maximum contribution base (per month)</t>
  </si>
  <si>
    <t xml:space="preserve">Employer social security rate</t>
  </si>
  <si>
    <t xml:space="preserve">Employee social security rate</t>
  </si>
  <si>
    <t xml:space="preserve">Solidarity contribution, tranche 1, employer</t>
  </si>
  <si>
    <t xml:space="preserve">Solidarity contribution, tranche 1, employee</t>
  </si>
  <si>
    <t xml:space="preserve">Solidarity contribution, tranche 2, employer</t>
  </si>
  <si>
    <t xml:space="preserve">Solidarity contribution, tranche 2, employee</t>
  </si>
  <si>
    <t xml:space="preserve">Solidarity contribution, tranche 3, employer</t>
  </si>
  <si>
    <t xml:space="preserve">Solidarity contribution, tranche 3, employee</t>
  </si>
  <si>
    <t xml:space="preserve">Extra payment month (June and December)</t>
  </si>
  <si>
    <t xml:space="preserve">Quarterly return payment month (January, April, July, October)</t>
  </si>
  <si>
    <t xml:space="preserve">Monthly returns in force (large company, from January 2027)</t>
  </si>
  <si>
    <t xml:space="preserve">Corporate income tax rate</t>
  </si>
  <si>
    <t xml:space="preserve">INPUTS: ACTUAL MONTHS (FICTIONAL LEDGER, BILLING SYSTEM, PAYROLL AND BANK)</t>
  </si>
  <si>
    <t xml:space="preserve">Jan-26 to Aug-26 are fictional actuals entered as inputs. Forecast months are blank by design and are driven from Assumptions, History and the Account_Register.</t>
  </si>
  <si>
    <t xml:space="preserve">ESSENTIALS: MRR BY COHORT AT MONTH END (billing system)</t>
  </si>
  <si>
    <t xml:space="preserve">Essentials, customers acquired before 2024: MRR</t>
  </si>
  <si>
    <t xml:space="preserve">billing system</t>
  </si>
  <si>
    <t xml:space="preserve">Essentials, cohort jan-24: MRR</t>
  </si>
  <si>
    <t xml:space="preserve">Essentials, cohort feb-24: MRR</t>
  </si>
  <si>
    <t xml:space="preserve">Essentials, cohort mar-24: MRR</t>
  </si>
  <si>
    <t xml:space="preserve">Essentials, cohort apr-24: MRR</t>
  </si>
  <si>
    <t xml:space="preserve">Essentials, cohort may-24: MRR</t>
  </si>
  <si>
    <t xml:space="preserve">Essentials, cohort jun-24: MRR</t>
  </si>
  <si>
    <t xml:space="preserve">Essentials, cohort jul-24: MRR</t>
  </si>
  <si>
    <t xml:space="preserve">Essentials, cohort aug-24: MRR</t>
  </si>
  <si>
    <t xml:space="preserve">Essentials, cohort sep-24: MRR</t>
  </si>
  <si>
    <t xml:space="preserve">Essentials, cohort oct-24: MRR</t>
  </si>
  <si>
    <t xml:space="preserve">Essentials, cohort nov-24: MRR</t>
  </si>
  <si>
    <t xml:space="preserve">Essentials, cohort dec-24: MRR</t>
  </si>
  <si>
    <t xml:space="preserve">Essentials, cohort jan-25: MRR</t>
  </si>
  <si>
    <t xml:space="preserve">Essentials, cohort feb-25: MRR</t>
  </si>
  <si>
    <t xml:space="preserve">Essentials, cohort mar-25: MRR</t>
  </si>
  <si>
    <t xml:space="preserve">Essentials, cohort apr-25: MRR</t>
  </si>
  <si>
    <t xml:space="preserve">Essentials, cohort may-25: MRR</t>
  </si>
  <si>
    <t xml:space="preserve">Essentials, cohort jun-25: MRR</t>
  </si>
  <si>
    <t xml:space="preserve">Essentials, cohort jul-25: MRR</t>
  </si>
  <si>
    <t xml:space="preserve">Essentials, cohort aug-25: MRR</t>
  </si>
  <si>
    <t xml:space="preserve">Essentials, cohort sep-25: MRR</t>
  </si>
  <si>
    <t xml:space="preserve">Essentials, cohort oct-25: MRR</t>
  </si>
  <si>
    <t xml:space="preserve">Essentials, cohort nov-25: MRR</t>
  </si>
  <si>
    <t xml:space="preserve">Essentials, cohort dec-25: MRR</t>
  </si>
  <si>
    <t xml:space="preserve">Essentials, cohort jan-26: MRR</t>
  </si>
  <si>
    <t xml:space="preserve">Essentials, cohort feb-26: MRR</t>
  </si>
  <si>
    <t xml:space="preserve">Essentials, cohort mar-26: MRR</t>
  </si>
  <si>
    <t xml:space="preserve">Essentials, cohort apr-26: MRR</t>
  </si>
  <si>
    <t xml:space="preserve">Essentials, cohort may-26: MRR</t>
  </si>
  <si>
    <t xml:space="preserve">Essentials, cohort jun-26: MRR</t>
  </si>
  <si>
    <t xml:space="preserve">Essentials, cohort jul-26: MRR</t>
  </si>
  <si>
    <t xml:space="preserve">Essentials, cohort aug-26: MRR</t>
  </si>
  <si>
    <t xml:space="preserve">ESSENTIALS: CUSTOMERS BY COHORT AT MONTH END</t>
  </si>
  <si>
    <t xml:space="preserve">Essentials, customers acquired before 2024: customers</t>
  </si>
  <si>
    <t xml:space="preserve">Essentials, cohort jan-24: customers</t>
  </si>
  <si>
    <t xml:space="preserve">Essentials, cohort feb-24: customers</t>
  </si>
  <si>
    <t xml:space="preserve">Essentials, cohort mar-24: customers</t>
  </si>
  <si>
    <t xml:space="preserve">Essentials, cohort apr-24: customers</t>
  </si>
  <si>
    <t xml:space="preserve">Essentials, cohort may-24: customers</t>
  </si>
  <si>
    <t xml:space="preserve">Essentials, cohort jun-24: customers</t>
  </si>
  <si>
    <t xml:space="preserve">Essentials, cohort jul-24: customers</t>
  </si>
  <si>
    <t xml:space="preserve">Essentials, cohort aug-24: customers</t>
  </si>
  <si>
    <t xml:space="preserve">Essentials, cohort sep-24: customers</t>
  </si>
  <si>
    <t xml:space="preserve">Essentials, cohort oct-24: customers</t>
  </si>
  <si>
    <t xml:space="preserve">Essentials, cohort nov-24: customers</t>
  </si>
  <si>
    <t xml:space="preserve">Essentials, cohort dec-24: customers</t>
  </si>
  <si>
    <t xml:space="preserve">Essentials, cohort jan-25: customers</t>
  </si>
  <si>
    <t xml:space="preserve">Essentials, cohort feb-25: customers</t>
  </si>
  <si>
    <t xml:space="preserve">Essentials, cohort mar-25: customers</t>
  </si>
  <si>
    <t xml:space="preserve">Essentials, cohort apr-25: customers</t>
  </si>
  <si>
    <t xml:space="preserve">Essentials, cohort may-25: customers</t>
  </si>
  <si>
    <t xml:space="preserve">Essentials, cohort jun-25: customers</t>
  </si>
  <si>
    <t xml:space="preserve">Essentials, cohort jul-25: customers</t>
  </si>
  <si>
    <t xml:space="preserve">Essentials, cohort aug-25: customers</t>
  </si>
  <si>
    <t xml:space="preserve">Essentials, cohort sep-25: customers</t>
  </si>
  <si>
    <t xml:space="preserve">Essentials, cohort oct-25: customers</t>
  </si>
  <si>
    <t xml:space="preserve">Essentials, cohort nov-25: customers</t>
  </si>
  <si>
    <t xml:space="preserve">Essentials, cohort dec-25: customers</t>
  </si>
  <si>
    <t xml:space="preserve">Essentials, cohort jan-26: customers</t>
  </si>
  <si>
    <t xml:space="preserve">Essentials, cohort feb-26: customers</t>
  </si>
  <si>
    <t xml:space="preserve">Essentials, cohort mar-26: customers</t>
  </si>
  <si>
    <t xml:space="preserve">Essentials, cohort apr-26: customers</t>
  </si>
  <si>
    <t xml:space="preserve">Essentials, cohort may-26: customers</t>
  </si>
  <si>
    <t xml:space="preserve">Essentials, cohort jun-26: customers</t>
  </si>
  <si>
    <t xml:space="preserve">Essentials, cohort jul-26: customers</t>
  </si>
  <si>
    <t xml:space="preserve">Essentials, cohort aug-26: customers</t>
  </si>
  <si>
    <t xml:space="preserve">PROFESSIONAL: MRR BY COHORT AT MONTH END</t>
  </si>
  <si>
    <t xml:space="preserve">Professional, acquired before 2024, renewing in january: MRR</t>
  </si>
  <si>
    <t xml:space="preserve">Professional, acquired before 2024, renewing in february: MRR</t>
  </si>
  <si>
    <t xml:space="preserve">Professional, acquired before 2024, renewing in march: MRR</t>
  </si>
  <si>
    <t xml:space="preserve">Professional, acquired before 2024, renewing in april: MRR</t>
  </si>
  <si>
    <t xml:space="preserve">Professional, acquired before 2024, renewing in may: MRR</t>
  </si>
  <si>
    <t xml:space="preserve">Professional, acquired before 2024, renewing in june: MRR</t>
  </si>
  <si>
    <t xml:space="preserve">Professional, acquired before 2024, renewing in july: MRR</t>
  </si>
  <si>
    <t xml:space="preserve">Professional, acquired before 2024, renewing in august: MRR</t>
  </si>
  <si>
    <t xml:space="preserve">Professional, acquired before 2024, renewing in september: MRR</t>
  </si>
  <si>
    <t xml:space="preserve">Professional, acquired before 2024, renewing in october: MRR</t>
  </si>
  <si>
    <t xml:space="preserve">Professional, acquired before 2024, renewing in november: MRR</t>
  </si>
  <si>
    <t xml:space="preserve">Professional, acquired before 2024, renewing in december: MRR</t>
  </si>
  <si>
    <t xml:space="preserve">Professional, cohort jan-24: MRR</t>
  </si>
  <si>
    <t xml:space="preserve">Professional, cohort feb-24: MRR</t>
  </si>
  <si>
    <t xml:space="preserve">Professional, cohort mar-24: MRR</t>
  </si>
  <si>
    <t xml:space="preserve">Professional, cohort apr-24: MRR</t>
  </si>
  <si>
    <t xml:space="preserve">Professional, cohort may-24: MRR</t>
  </si>
  <si>
    <t xml:space="preserve">Professional, cohort jun-24: MRR</t>
  </si>
  <si>
    <t xml:space="preserve">Professional, cohort jul-24: MRR</t>
  </si>
  <si>
    <t xml:space="preserve">Professional, cohort aug-24: MRR</t>
  </si>
  <si>
    <t xml:space="preserve">Professional, cohort sep-24: MRR</t>
  </si>
  <si>
    <t xml:space="preserve">Professional, cohort oct-24: MRR</t>
  </si>
  <si>
    <t xml:space="preserve">Professional, cohort nov-24: MRR</t>
  </si>
  <si>
    <t xml:space="preserve">Professional, cohort dec-24: MRR</t>
  </si>
  <si>
    <t xml:space="preserve">Professional, cohort jan-25: MRR</t>
  </si>
  <si>
    <t xml:space="preserve">Professional, cohort feb-25: MRR</t>
  </si>
  <si>
    <t xml:space="preserve">Professional, cohort mar-25: MRR</t>
  </si>
  <si>
    <t xml:space="preserve">Professional, cohort apr-25: MRR</t>
  </si>
  <si>
    <t xml:space="preserve">Professional, cohort may-25: MRR</t>
  </si>
  <si>
    <t xml:space="preserve">Professional, cohort jun-25: MRR</t>
  </si>
  <si>
    <t xml:space="preserve">Professional, cohort jul-25: MRR</t>
  </si>
  <si>
    <t xml:space="preserve">Professional, cohort aug-25: MRR</t>
  </si>
  <si>
    <t xml:space="preserve">Professional, cohort sep-25: MRR</t>
  </si>
  <si>
    <t xml:space="preserve">Professional, cohort oct-25: MRR</t>
  </si>
  <si>
    <t xml:space="preserve">Professional, cohort nov-25: MRR</t>
  </si>
  <si>
    <t xml:space="preserve">Professional, cohort dec-25: MRR</t>
  </si>
  <si>
    <t xml:space="preserve">Professional, cohort jan-26: MRR</t>
  </si>
  <si>
    <t xml:space="preserve">Professional, cohort feb-26: MRR</t>
  </si>
  <si>
    <t xml:space="preserve">Professional, cohort mar-26: MRR</t>
  </si>
  <si>
    <t xml:space="preserve">Professional, cohort apr-26: MRR</t>
  </si>
  <si>
    <t xml:space="preserve">Professional, cohort may-26: MRR</t>
  </si>
  <si>
    <t xml:space="preserve">Professional, cohort jun-26: MRR</t>
  </si>
  <si>
    <t xml:space="preserve">Professional, cohort jul-26: MRR</t>
  </si>
  <si>
    <t xml:space="preserve">Professional, cohort aug-26: MRR</t>
  </si>
  <si>
    <t xml:space="preserve">PROFESSIONAL: CUSTOMERS BY COHORT AT MONTH END</t>
  </si>
  <si>
    <t xml:space="preserve">Professional, acquired before 2024, renewing in january: customers</t>
  </si>
  <si>
    <t xml:space="preserve">Professional, acquired before 2024, renewing in february: customers</t>
  </si>
  <si>
    <t xml:space="preserve">Professional, acquired before 2024, renewing in march: customers</t>
  </si>
  <si>
    <t xml:space="preserve">Professional, acquired before 2024, renewing in april: customers</t>
  </si>
  <si>
    <t xml:space="preserve">Professional, acquired before 2024, renewing in may: customers</t>
  </si>
  <si>
    <t xml:space="preserve">Professional, acquired before 2024, renewing in june: customers</t>
  </si>
  <si>
    <t xml:space="preserve">Professional, acquired before 2024, renewing in july: customers</t>
  </si>
  <si>
    <t xml:space="preserve">Professional, acquired before 2024, renewing in august: customers</t>
  </si>
  <si>
    <t xml:space="preserve">Professional, acquired before 2024, renewing in september: customers</t>
  </si>
  <si>
    <t xml:space="preserve">Professional, acquired before 2024, renewing in october: customers</t>
  </si>
  <si>
    <t xml:space="preserve">Professional, acquired before 2024, renewing in november: customers</t>
  </si>
  <si>
    <t xml:space="preserve">Professional, acquired before 2024, renewing in december: customers</t>
  </si>
  <si>
    <t xml:space="preserve">Professional, cohort jan-24: customers</t>
  </si>
  <si>
    <t xml:space="preserve">Professional, cohort feb-24: customers</t>
  </si>
  <si>
    <t xml:space="preserve">Professional, cohort mar-24: customers</t>
  </si>
  <si>
    <t xml:space="preserve">Professional, cohort apr-24: customers</t>
  </si>
  <si>
    <t xml:space="preserve">Professional, cohort may-24: customers</t>
  </si>
  <si>
    <t xml:space="preserve">Professional, cohort jun-24: customers</t>
  </si>
  <si>
    <t xml:space="preserve">Professional, cohort jul-24: customers</t>
  </si>
  <si>
    <t xml:space="preserve">Professional, cohort aug-24: customers</t>
  </si>
  <si>
    <t xml:space="preserve">Professional, cohort sep-24: customers</t>
  </si>
  <si>
    <t xml:space="preserve">Professional, cohort oct-24: customers</t>
  </si>
  <si>
    <t xml:space="preserve">Professional, cohort nov-24: customers</t>
  </si>
  <si>
    <t xml:space="preserve">Professional, cohort dec-24: customers</t>
  </si>
  <si>
    <t xml:space="preserve">Professional, cohort jan-25: customers</t>
  </si>
  <si>
    <t xml:space="preserve">Professional, cohort feb-25: customers</t>
  </si>
  <si>
    <t xml:space="preserve">Professional, cohort mar-25: customers</t>
  </si>
  <si>
    <t xml:space="preserve">Professional, cohort apr-25: customers</t>
  </si>
  <si>
    <t xml:space="preserve">Professional, cohort may-25: customers</t>
  </si>
  <si>
    <t xml:space="preserve">Professional, cohort jun-25: customers</t>
  </si>
  <si>
    <t xml:space="preserve">Professional, cohort jul-25: customers</t>
  </si>
  <si>
    <t xml:space="preserve">Professional, cohort aug-25: customers</t>
  </si>
  <si>
    <t xml:space="preserve">Professional, cohort sep-25: customers</t>
  </si>
  <si>
    <t xml:space="preserve">Professional, cohort oct-25: customers</t>
  </si>
  <si>
    <t xml:space="preserve">Professional, cohort nov-25: customers</t>
  </si>
  <si>
    <t xml:space="preserve">Professional, cohort dec-25: customers</t>
  </si>
  <si>
    <t xml:space="preserve">Professional, cohort jan-26: customers</t>
  </si>
  <si>
    <t xml:space="preserve">Professional, cohort feb-26: customers</t>
  </si>
  <si>
    <t xml:space="preserve">Professional, cohort mar-26: customers</t>
  </si>
  <si>
    <t xml:space="preserve">Professional, cohort apr-26: customers</t>
  </si>
  <si>
    <t xml:space="preserve">Professional, cohort may-26: customers</t>
  </si>
  <si>
    <t xml:space="preserve">Professional, cohort jun-26: customers</t>
  </si>
  <si>
    <t xml:space="preserve">Professional, cohort jul-26: customers</t>
  </si>
  <si>
    <t xml:space="preserve">Professional, cohort aug-26: customers</t>
  </si>
  <si>
    <t xml:space="preserve">ENTERPRISE: MRR BY ACCOUNT AT MONTH END</t>
  </si>
  <si>
    <t xml:space="preserve">E01 Marvessa Hotels: MRR</t>
  </si>
  <si>
    <t xml:space="preserve">E02 Velmira Hospitality: MRR</t>
  </si>
  <si>
    <t xml:space="preserve">E03 Tarbela Retail: MRR</t>
  </si>
  <si>
    <t xml:space="preserve">E04 Quirona Restauracion: MRR</t>
  </si>
  <si>
    <t xml:space="preserve">E05 Osterna Retail Group: MRR</t>
  </si>
  <si>
    <t xml:space="preserve">E06 Delvora Hotels: MRR</t>
  </si>
  <si>
    <t xml:space="preserve">E07 Hallowmere Inns: MRR</t>
  </si>
  <si>
    <t xml:space="preserve">E08 Corvena Supermercados: MRR</t>
  </si>
  <si>
    <t xml:space="preserve">E09 Luzmara Hoteles: MRR</t>
  </si>
  <si>
    <t xml:space="preserve">E10 Sanvero Restaurantes: MRR</t>
  </si>
  <si>
    <t xml:space="preserve">E11 Pradela Retail: MRR</t>
  </si>
  <si>
    <t xml:space="preserve">E12 Brandelo Cafes: MRR</t>
  </si>
  <si>
    <t xml:space="preserve">E13 Almerta Fashion: MRR</t>
  </si>
  <si>
    <t xml:space="preserve">E14 Tosquel Hotels: MRR</t>
  </si>
  <si>
    <t xml:space="preserve">E15 Varmena Group: MRR</t>
  </si>
  <si>
    <t xml:space="preserve">E16 Gresholt Leisure: MRR</t>
  </si>
  <si>
    <t xml:space="preserve">E17 Cantaleva Restauracion: MRR</t>
  </si>
  <si>
    <t xml:space="preserve">E18 Orvieta Retail: MRR</t>
  </si>
  <si>
    <t xml:space="preserve">E19 Salvedra Hoteles: MRR</t>
  </si>
  <si>
    <t xml:space="preserve">E20 Numara Hospitality: MRR</t>
  </si>
  <si>
    <t xml:space="preserve">E21 Belvarra Hotels: MRR</t>
  </si>
  <si>
    <t xml:space="preserve">E22 Ferrano Retail: MRR</t>
  </si>
  <si>
    <t xml:space="preserve">MRR MOVEMENTS BY SEGMENT (billing system; churn and contraction as positive amounts)</t>
  </si>
  <si>
    <t xml:space="preserve">Essentials: MRR from new customers</t>
  </si>
  <si>
    <t xml:space="preserve">Essentials: MRR from expansion</t>
  </si>
  <si>
    <t xml:space="preserve">Essentials: MRR from price</t>
  </si>
  <si>
    <t xml:space="preserve">Essentials: MRR from contraction</t>
  </si>
  <si>
    <t xml:space="preserve">Essentials: MRR from churn</t>
  </si>
  <si>
    <t xml:space="preserve">Essentials: new customers (count)</t>
  </si>
  <si>
    <t xml:space="preserve">Essentials: customers lost (count)</t>
  </si>
  <si>
    <t xml:space="preserve">Professional: MRR from new customers</t>
  </si>
  <si>
    <t xml:space="preserve">Professional: MRR from expansion</t>
  </si>
  <si>
    <t xml:space="preserve">Professional: MRR from price</t>
  </si>
  <si>
    <t xml:space="preserve">Professional: MRR from contraction</t>
  </si>
  <si>
    <t xml:space="preserve">Professional: MRR from churn</t>
  </si>
  <si>
    <t xml:space="preserve">Professional: new customers (count)</t>
  </si>
  <si>
    <t xml:space="preserve">Professional: customers lost (count)</t>
  </si>
  <si>
    <t xml:space="preserve">Enterprise: MRR from new customers</t>
  </si>
  <si>
    <t xml:space="preserve">Enterprise: MRR from expansion</t>
  </si>
  <si>
    <t xml:space="preserve">Enterprise: MRR from price</t>
  </si>
  <si>
    <t xml:space="preserve">Enterprise: MRR from contraction</t>
  </si>
  <si>
    <t xml:space="preserve">Enterprise: MRR from churn</t>
  </si>
  <si>
    <t xml:space="preserve">Enterprise: new customers (count)</t>
  </si>
  <si>
    <t xml:space="preserve">Enterprise: customers lost (count)</t>
  </si>
  <si>
    <t xml:space="preserve">Professional: onboarding fees invoiced</t>
  </si>
  <si>
    <t xml:space="preserve">sales ledger</t>
  </si>
  <si>
    <t xml:space="preserve">Enterprise: onboarding fees invoiced</t>
  </si>
  <si>
    <t xml:space="preserve">RECEIPTS, CARD PROCESSING AND WRITE-OFFS (bank)</t>
  </si>
  <si>
    <t xml:space="preserve">Essentials: card payouts received (net of processing fees)</t>
  </si>
  <si>
    <t xml:space="preserve">bank</t>
  </si>
  <si>
    <t xml:space="preserve">Essentials: card processing fees</t>
  </si>
  <si>
    <t xml:space="preserve">payment processor statement</t>
  </si>
  <si>
    <t xml:space="preserve">Professional: cash received</t>
  </si>
  <si>
    <t xml:space="preserve">Enterprise: cash received</t>
  </si>
  <si>
    <t xml:space="preserve">Professional: invoices written off (customer insolvency)</t>
  </si>
  <si>
    <t xml:space="preserve">ledger</t>
  </si>
  <si>
    <t xml:space="preserve">PAYROLL BY DEPARTMENT (salaries accrued at 1/12 of the annual salary; paid in 14 instalments)</t>
  </si>
  <si>
    <t xml:space="preserve">payroll</t>
  </si>
  <si>
    <t xml:space="preserve">Engineering: extra payments accrued (memo, inside salaries accrued)</t>
  </si>
  <si>
    <t xml:space="preserve">Engineering: extra payments paid (June and December)</t>
  </si>
  <si>
    <t xml:space="preserve">Product and design: extra payments accrued (memo, inside salaries accrued)</t>
  </si>
  <si>
    <t xml:space="preserve">Product and design: extra payments paid (June and December)</t>
  </si>
  <si>
    <t xml:space="preserve">Customer support: extra payments accrued (memo, inside salaries accrued)</t>
  </si>
  <si>
    <t xml:space="preserve">Customer support: extra payments paid (June and December)</t>
  </si>
  <si>
    <t xml:space="preserve">Implementation and onboarding: extra payments accrued (memo, inside salaries accrued)</t>
  </si>
  <si>
    <t xml:space="preserve">Implementation and onboarding: extra payments paid (June and December)</t>
  </si>
  <si>
    <t xml:space="preserve">Customer success: extra payments accrued (memo, inside salaries accrued)</t>
  </si>
  <si>
    <t xml:space="preserve">Customer success: extra payments paid (June and December)</t>
  </si>
  <si>
    <t xml:space="preserve">Sales: extra payments accrued (memo, inside salaries accrued)</t>
  </si>
  <si>
    <t xml:space="preserve">Sales: extra payments paid (June and December)</t>
  </si>
  <si>
    <t xml:space="preserve">Marketing: extra payments accrued (memo, inside salaries accrued)</t>
  </si>
  <si>
    <t xml:space="preserve">Marketing: extra payments paid (June and December)</t>
  </si>
  <si>
    <t xml:space="preserve">General and administrative: extra payments accrued (memo, inside salaries accrued)</t>
  </si>
  <si>
    <t xml:space="preserve">General and administrative: extra payments paid (June and December)</t>
  </si>
  <si>
    <t xml:space="preserve">HEADCOUNT BY BAND AT MONTH END (payroll)</t>
  </si>
  <si>
    <t xml:space="preserve">Engineering leadership (CTO and team leads): headcount</t>
  </si>
  <si>
    <t xml:space="preserve">Senior software engineers: headcount</t>
  </si>
  <si>
    <t xml:space="preserve">Software engineers: headcount</t>
  </si>
  <si>
    <t xml:space="preserve">Junior engineers and QA: headcount</t>
  </si>
  <si>
    <t xml:space="preserve">Product managers (incl. head of product): headcount</t>
  </si>
  <si>
    <t xml:space="preserve">Product designers: headcount</t>
  </si>
  <si>
    <t xml:space="preserve">Customer support agents (incl. lead): headcount</t>
  </si>
  <si>
    <t xml:space="preserve">Implementation and onboarding managers: headcount</t>
  </si>
  <si>
    <t xml:space="preserve">Customer success managers: headcount</t>
  </si>
  <si>
    <t xml:space="preserve">Head of sales: headcount</t>
  </si>
  <si>
    <t xml:space="preserve">Account executives (base salary): headcount</t>
  </si>
  <si>
    <t xml:space="preserve">Sales development representatives: headcount</t>
  </si>
  <si>
    <t xml:space="preserve">Marketing (incl. head of marketing): headcount</t>
  </si>
  <si>
    <t xml:space="preserve">Founders and executive team (CEO, COO): headcount</t>
  </si>
  <si>
    <t xml:space="preserve">Finance, people and office: headcount</t>
  </si>
  <si>
    <t xml:space="preserve">COMMISSIONS, CAPITALISED DEVELOPMENT, OVERHEADS AND CAPEX</t>
  </si>
  <si>
    <t xml:space="preserve">Sales commissions earned (Professional and Enterprise)</t>
  </si>
  <si>
    <t xml:space="preserve">commission statements</t>
  </si>
  <si>
    <t xml:space="preserve">Development capitalised (journal from engineering time records)</t>
  </si>
  <si>
    <t xml:space="preserve">asset register</t>
  </si>
  <si>
    <t xml:space="preserve">PAYMENTS (bank)</t>
  </si>
  <si>
    <t xml:space="preserve">Spanish suppliers (incl. VAT and equipment)</t>
  </si>
  <si>
    <t xml:space="preserve">VAT returns paid (modelo 303)</t>
  </si>
  <si>
    <t xml:space="preserve">bank, tax account</t>
  </si>
  <si>
    <t xml:space="preserve">IRPF withheld paid (modelo 111)</t>
  </si>
  <si>
    <t xml:space="preserve">Rent withholding paid (modelo 115)</t>
  </si>
  <si>
    <t xml:space="preserve">Social security paid</t>
  </si>
  <si>
    <t xml:space="preserve">Venture debt: interest paid</t>
  </si>
  <si>
    <t xml:space="preserve">Venture debt: principal repaid</t>
  </si>
  <si>
    <t xml:space="preserve">OPENING BALANCE SHEET AT 31-DEC-25 (FY2025 accounts, fictional); the subscription book is on History and the Account_Register</t>
  </si>
  <si>
    <t xml:space="preserve">FY25 accounts</t>
  </si>
  <si>
    <t xml:space="preserve">Trade receivables: Professional customers (incl. VAT)</t>
  </si>
  <si>
    <t xml:space="preserve">Trade receivables: Enterprise accounts (incl. VAT)</t>
  </si>
  <si>
    <t xml:space="preserve">Capitalised development, net book value</t>
  </si>
  <si>
    <t xml:space="preserve">IT equipment: cost</t>
  </si>
  <si>
    <t xml:space="preserve">IT equipment: accumulated depreciation</t>
  </si>
  <si>
    <t xml:space="preserve">Office fit-out: cost</t>
  </si>
  <si>
    <t xml:space="preserve">Office fit-out: accumulated depreciation</t>
  </si>
  <si>
    <t xml:space="preserve">Social security payable (December contributions)</t>
  </si>
  <si>
    <t xml:space="preserve">IRPF withheld payable (fourth quarter)</t>
  </si>
  <si>
    <t xml:space="preserve">Rent withholding payable (fourth quarter)</t>
  </si>
  <si>
    <t xml:space="preserve">VAT payable (fourth quarter return)</t>
  </si>
  <si>
    <t xml:space="preserve">Commissions payable (December)</t>
  </si>
  <si>
    <t xml:space="preserve">Accrued extra payments</t>
  </si>
  <si>
    <t xml:space="preserve">Venture debt</t>
  </si>
  <si>
    <t xml:space="preserve">HISTORY: FY2025 BY MONTH, THE SUBSCRIPTION BOOK AT 31-DEC-25 AND QUARTERLY COHORTS 2024 TO 2025 (FICTIONAL LEDGER AND BILLING SYSTEM)</t>
  </si>
  <si>
    <t xml:space="preserve">Inputs from before the model starts: they feed the trailing twelve-month measures (NRR, GRR, burn multiple, Rule of 40), the onboarding fee deferral, the opening cohort book and the cohort tables.</t>
  </si>
  <si>
    <t xml:space="preserve">Key</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</si>
  <si>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</si>
  <si>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</si>
  <si>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</si>
  <si>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</si>
  <si>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</si>
  <si>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</si>
  <si>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</si>
  <si>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</si>
  <si>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</si>
  <si>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</si>
  <si>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</si>
  <si>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</si>
  <si>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FY2025</t>
  </si>
  <si>
    <t xml:space="preserve">ESSENTIALS (SELF-SERVE, MONTHLY CARD BILLING): MRR BRIDGE AND CUSTOMERS</t>
  </si>
  <si>
    <t xml:space="preserve">SMB|open</t>
  </si>
  <si>
    <t xml:space="preserve">SMB|new</t>
  </si>
  <si>
    <t xml:space="preserve">SMB|exp</t>
  </si>
  <si>
    <t xml:space="preserve">SMB|price</t>
  </si>
  <si>
    <t xml:space="preserve">SMB|con</t>
  </si>
  <si>
    <t xml:space="preserve">SMB|churn</t>
  </si>
  <si>
    <t xml:space="preserve">SMB|mrr</t>
  </si>
  <si>
    <t xml:space="preserve">SMB|nlg</t>
  </si>
  <si>
    <t xml:space="preserve">SMB|clg</t>
  </si>
  <si>
    <t xml:space="preserve">Customers at month end</t>
  </si>
  <si>
    <t xml:space="preserve">SMB|lg</t>
  </si>
  <si>
    <t xml:space="preserve">PROFESSIONAL (ANNUAL PREPAID, INVOICED): MRR BRIDGE AND CUSTOMERS</t>
  </si>
  <si>
    <t xml:space="preserve">MM|open</t>
  </si>
  <si>
    <t xml:space="preserve">MM|new</t>
  </si>
  <si>
    <t xml:space="preserve">MM|exp</t>
  </si>
  <si>
    <t xml:space="preserve">MM|price</t>
  </si>
  <si>
    <t xml:space="preserve">MM|con</t>
  </si>
  <si>
    <t xml:space="preserve">MM|churn</t>
  </si>
  <si>
    <t xml:space="preserve">MM|mrr</t>
  </si>
  <si>
    <t xml:space="preserve">MM|nlg</t>
  </si>
  <si>
    <t xml:space="preserve">MM|clg</t>
  </si>
  <si>
    <t xml:space="preserve">MM|lg</t>
  </si>
  <si>
    <t xml:space="preserve">MM|fee</t>
  </si>
  <si>
    <t xml:space="preserve">ENTERPRISE (ANNUAL PREPAID, NAMED ACCOUNTS): MRR BRIDGE AND CUSTOMERS</t>
  </si>
  <si>
    <t xml:space="preserve">ENT|open</t>
  </si>
  <si>
    <t xml:space="preserve">ENT|new</t>
  </si>
  <si>
    <t xml:space="preserve">ENT|exp</t>
  </si>
  <si>
    <t xml:space="preserve">ENT|price</t>
  </si>
  <si>
    <t xml:space="preserve">ENT|con</t>
  </si>
  <si>
    <t xml:space="preserve">ENT|churn</t>
  </si>
  <si>
    <t xml:space="preserve">ENT|mrr</t>
  </si>
  <si>
    <t xml:space="preserve">ENT|nlg</t>
  </si>
  <si>
    <t xml:space="preserve">ENT|clg</t>
  </si>
  <si>
    <t xml:space="preserve">ENT|lg</t>
  </si>
  <si>
    <t xml:space="preserve">ENT|fee</t>
  </si>
  <si>
    <t xml:space="preserve">FIRM</t>
  </si>
  <si>
    <t xml:space="preserve">rev</t>
  </si>
  <si>
    <t xml:space="preserve">ebitda</t>
  </si>
  <si>
    <t xml:space="preserve">Net cash flow before financing</t>
  </si>
  <si>
    <t xml:space="preserve">burn</t>
  </si>
  <si>
    <t xml:space="preserve">SUBSCRIPTION BOOK AT 31-DEC-25 BY COHORT (billing system): opening MRR and customers</t>
  </si>
  <si>
    <t xml:space="preserve">Cohort</t>
  </si>
  <si>
    <t xml:space="preserve">Segment</t>
  </si>
  <si>
    <t xml:space="preserve">MRR 31-Dec-25</t>
  </si>
  <si>
    <t xml:space="preserve">Customers 31-Dec-25</t>
  </si>
  <si>
    <t xml:space="preserve">S|L</t>
  </si>
  <si>
    <t xml:space="preserve">Essentials</t>
  </si>
  <si>
    <t xml:space="preserve">S|m-23</t>
  </si>
  <si>
    <t xml:space="preserve">S|m-22</t>
  </si>
  <si>
    <t xml:space="preserve">S|m-21</t>
  </si>
  <si>
    <t xml:space="preserve">S|m-20</t>
  </si>
  <si>
    <t xml:space="preserve">S|m-19</t>
  </si>
  <si>
    <t xml:space="preserve">S|m-18</t>
  </si>
  <si>
    <t xml:space="preserve">S|m-17</t>
  </si>
  <si>
    <t xml:space="preserve">S|m-16</t>
  </si>
  <si>
    <t xml:space="preserve">S|m-15</t>
  </si>
  <si>
    <t xml:space="preserve">S|m-14</t>
  </si>
  <si>
    <t xml:space="preserve">S|m-13</t>
  </si>
  <si>
    <t xml:space="preserve">S|m-12</t>
  </si>
  <si>
    <t xml:space="preserve">S|m-11</t>
  </si>
  <si>
    <t xml:space="preserve">S|m-10</t>
  </si>
  <si>
    <t xml:space="preserve">S|m-9</t>
  </si>
  <si>
    <t xml:space="preserve">S|m-8</t>
  </si>
  <si>
    <t xml:space="preserve">S|m-7</t>
  </si>
  <si>
    <t xml:space="preserve">S|m-6</t>
  </si>
  <si>
    <t xml:space="preserve">S|m-5</t>
  </si>
  <si>
    <t xml:space="preserve">S|m-4</t>
  </si>
  <si>
    <t xml:space="preserve">S|m-3</t>
  </si>
  <si>
    <t xml:space="preserve">S|m-2</t>
  </si>
  <si>
    <t xml:space="preserve">S|m-1</t>
  </si>
  <si>
    <t xml:space="preserve">S|m0</t>
  </si>
  <si>
    <t xml:space="preserve">M|L01</t>
  </si>
  <si>
    <t xml:space="preserve">Professional</t>
  </si>
  <si>
    <t xml:space="preserve">M|L02</t>
  </si>
  <si>
    <t xml:space="preserve">M|L03</t>
  </si>
  <si>
    <t xml:space="preserve">M|L04</t>
  </si>
  <si>
    <t xml:space="preserve">M|L05</t>
  </si>
  <si>
    <t xml:space="preserve">M|L06</t>
  </si>
  <si>
    <t xml:space="preserve">M|L07</t>
  </si>
  <si>
    <t xml:space="preserve">M|L08</t>
  </si>
  <si>
    <t xml:space="preserve">M|L09</t>
  </si>
  <si>
    <t xml:space="preserve">M|L10</t>
  </si>
  <si>
    <t xml:space="preserve">M|L11</t>
  </si>
  <si>
    <t xml:space="preserve">M|L12</t>
  </si>
  <si>
    <t xml:space="preserve">M|m-23</t>
  </si>
  <si>
    <t xml:space="preserve">M|m-22</t>
  </si>
  <si>
    <t xml:space="preserve">M|m-21</t>
  </si>
  <si>
    <t xml:space="preserve">M|m-20</t>
  </si>
  <si>
    <t xml:space="preserve">M|m-19</t>
  </si>
  <si>
    <t xml:space="preserve">M|m-18</t>
  </si>
  <si>
    <t xml:space="preserve">M|m-17</t>
  </si>
  <si>
    <t xml:space="preserve">M|m-16</t>
  </si>
  <si>
    <t xml:space="preserve">M|m-15</t>
  </si>
  <si>
    <t xml:space="preserve">M|m-14</t>
  </si>
  <si>
    <t xml:space="preserve">M|m-13</t>
  </si>
  <si>
    <t xml:space="preserve">M|m-12</t>
  </si>
  <si>
    <t xml:space="preserve">M|m-11</t>
  </si>
  <si>
    <t xml:space="preserve">M|m-10</t>
  </si>
  <si>
    <t xml:space="preserve">M|m-9</t>
  </si>
  <si>
    <t xml:space="preserve">M|m-8</t>
  </si>
  <si>
    <t xml:space="preserve">M|m-7</t>
  </si>
  <si>
    <t xml:space="preserve">M|m-6</t>
  </si>
  <si>
    <t xml:space="preserve">M|m-5</t>
  </si>
  <si>
    <t xml:space="preserve">M|m-4</t>
  </si>
  <si>
    <t xml:space="preserve">M|m-3</t>
  </si>
  <si>
    <t xml:space="preserve">M|m-2</t>
  </si>
  <si>
    <t xml:space="preserve">M|m-1</t>
  </si>
  <si>
    <t xml:space="preserve">M|m0</t>
  </si>
  <si>
    <t xml:space="preserve">QUARTERLY COHORTS 2024 TO 2025, ALL SEGMENTS: MRR AND CUSTOMERS AT EACH QUARTER END</t>
  </si>
  <si>
    <t xml:space="preserve">MRR at quarter end</t>
  </si>
  <si>
    <t xml:space="preserve">Customers at quarter end</t>
  </si>
  <si>
    <t xml:space="preserve">All customers: MRR at quarter end</t>
  </si>
  <si>
    <t xml:space="preserve">total</t>
  </si>
  <si>
    <t xml:space="preserve">All customers: customers at quarter end</t>
  </si>
  <si>
    <t xml:space="preserve">ORIGINAL FY2026 BUDGET (APPROVED DEC-25, FICTIONAL)</t>
  </si>
  <si>
    <t xml:space="preserve">Twelve budget months built from the Dec-25 subscription book. MRR movements, customers, cost lines and balances are inputs as approved; closing MRR, subscription revenue and totals are calculated. Never overwritten.</t>
  </si>
  <si>
    <t xml:space="preserve">ESSENTIALS: MRR BRIDGE AND CUSTOMERS</t>
  </si>
  <si>
    <t xml:space="preserve">budget input</t>
  </si>
  <si>
    <t xml:space="preserve">opening Dec-25 book + movements</t>
  </si>
  <si>
    <t xml:space="preserve">PROFESSIONAL: MRR BRIDGE AND CUSTOMERS</t>
  </si>
  <si>
    <t xml:space="preserve">ENTERPRISE: MRR BRIDGE AND CUSTOMERS</t>
  </si>
  <si>
    <t xml:space="preserve">TOTAL SUBSCRIPTION BOOK</t>
  </si>
  <si>
    <t xml:space="preserve">budget MRR</t>
  </si>
  <si>
    <t xml:space="preserve">Onboarding fees recognised</t>
  </si>
  <si>
    <t xml:space="preserve">Corporate income tax (nil: losses brought forward)</t>
  </si>
  <si>
    <t xml:space="preserve">BUDGETED BALANCES AND HEADCOUNT</t>
  </si>
  <si>
    <t xml:space="preserve">budget balance</t>
  </si>
  <si>
    <t xml:space="preserve">budget</t>
  </si>
</sst>
</file>

<file path=xl/styles.xml><?xml version="1.0" encoding="utf-8"?>
<styleSheet xmlns="http://schemas.openxmlformats.org/spreadsheetml/2006/main">
  <numFmts count="17">
    <numFmt numFmtId="164" formatCode="General"/>
    <numFmt numFmtId="165" formatCode="mmm\-yy"/>
    <numFmt numFmtId="166" formatCode="@"/>
    <numFmt numFmtId="167" formatCode="#,##0;\(#,##0\);\-"/>
    <numFmt numFmtId="168" formatCode="0.0%;\(0.0%\);\-"/>
    <numFmt numFmtId="169" formatCode="0.0####"/>
    <numFmt numFmtId="170" formatCode="#,##0.00;\(#,##0.00\);\-"/>
    <numFmt numFmtId="171" formatCode="0"/>
    <numFmt numFmtId="172" formatCode="General"/>
    <numFmt numFmtId="173" formatCode="dd\-mmm\-yy"/>
    <numFmt numFmtId="174" formatCode="0.0;\(0.0\);\-"/>
    <numFmt numFmtId="175" formatCode="0.00%;\(0.00%\);\-"/>
    <numFmt numFmtId="176" formatCode="0.00\x"/>
    <numFmt numFmtId="177" formatCode="0%"/>
    <numFmt numFmtId="178" formatCode="0.0000"/>
    <numFmt numFmtId="179" formatCode="0.00"/>
    <numFmt numFmtId="180" formatCode="0.000"/>
  </numFmts>
  <fonts count="36">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sz val="10"/>
      <color rgb="FF003B46"/>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32330"/>
      <name val="Arial"/>
      <family val="0"/>
      <charset val="1"/>
    </font>
    <font>
      <sz val="8"/>
      <color rgb="FF888888"/>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F2F7F9"/>
        <bgColor rgb="FFF0F9E8"/>
      </patternFill>
    </fill>
    <fill>
      <patternFill patternType="solid">
        <fgColor rgb="FF003B46"/>
        <bgColor rgb="FF1A2B33"/>
      </patternFill>
    </fill>
    <fill>
      <patternFill patternType="solid">
        <fgColor rgb="FFF0F9E8"/>
        <bgColor rgb="FFF2F7F9"/>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8"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23"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23" fillId="6" borderId="1" xfId="0" applyFont="true" applyBorder="true" applyAlignment="true" applyProtection="false">
      <alignment horizontal="center"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68" fontId="22" fillId="0" borderId="0" xfId="0" applyFont="true" applyBorder="false" applyAlignment="false" applyProtection="false">
      <alignment horizontal="general" vertical="bottom" textRotation="0" wrapText="false" indent="0" shrinkToFit="false"/>
      <protection locked="true" hidden="false"/>
    </xf>
    <xf numFmtId="171" fontId="22"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left"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2" fontId="22"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3" fontId="0" fillId="0" borderId="0" xfId="0" applyFont="false" applyBorder="false" applyAlignment="true" applyProtection="false">
      <alignment horizontal="center" vertical="top"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27" fillId="4"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1" fontId="28" fillId="0" borderId="0" xfId="0" applyFont="true" applyBorder="false" applyAlignment="true" applyProtection="false">
      <alignment horizontal="center"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9" fillId="0" borderId="2" xfId="0" applyFont="true" applyBorder="true" applyAlignment="false" applyProtection="false">
      <alignment horizontal="general" vertical="bottom" textRotation="0" wrapText="false" indent="0" shrinkToFit="false"/>
      <protection locked="true" hidden="false"/>
    </xf>
    <xf numFmtId="167" fontId="22" fillId="4" borderId="2" xfId="0" applyFont="true" applyBorder="true" applyAlignment="false" applyProtection="false">
      <alignment horizontal="general" vertical="bottom" textRotation="0" wrapText="false" indent="0" shrinkToFit="false"/>
      <protection locked="true" hidden="false"/>
    </xf>
    <xf numFmtId="167" fontId="30" fillId="4" borderId="2" xfId="0" applyFont="true" applyBorder="tru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7" fontId="22" fillId="6"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22" fillId="6"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4" fontId="22" fillId="6"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5" fontId="22" fillId="6"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76" fontId="22" fillId="6"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8" fontId="22" fillId="4" borderId="2" xfId="0" applyFont="tru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74" fontId="16" fillId="0" borderId="0" xfId="0" applyFont="true" applyBorder="false" applyAlignment="false" applyProtection="false">
      <alignment horizontal="general" vertical="bottom" textRotation="0" wrapText="false" indent="0" shrinkToFit="false"/>
      <protection locked="true" hidden="false"/>
    </xf>
    <xf numFmtId="174" fontId="30" fillId="4" borderId="2" xfId="0" applyFont="true" applyBorder="true" applyAlignment="false" applyProtection="false">
      <alignment horizontal="general" vertical="bottom" textRotation="0" wrapText="false" indent="0" shrinkToFit="false"/>
      <protection locked="true" hidden="false"/>
    </xf>
    <xf numFmtId="174" fontId="22" fillId="4" borderId="2"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2"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7" fontId="0" fillId="7" borderId="0" xfId="0" applyFont="false" applyBorder="false" applyAlignment="false" applyProtection="false">
      <alignment horizontal="general" vertical="bottom" textRotation="0" wrapText="false" indent="0" shrinkToFit="false"/>
      <protection locked="true" hidden="false"/>
    </xf>
    <xf numFmtId="167" fontId="30" fillId="0" borderId="0" xfId="0" applyFont="tru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8" fontId="30" fillId="0" borderId="0" xfId="0" applyFont="tru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76" fontId="0" fillId="7" borderId="0" xfId="0" applyFont="false" applyBorder="false" applyAlignment="false" applyProtection="false">
      <alignment horizontal="general" vertical="bottom" textRotation="0" wrapText="false" indent="0" shrinkToFit="false"/>
      <protection locked="true" hidden="false"/>
    </xf>
    <xf numFmtId="176" fontId="30" fillId="0" borderId="0" xfId="0" applyFont="true" applyBorder="false" applyAlignment="false" applyProtection="false">
      <alignment horizontal="general" vertical="bottom" textRotation="0" wrapText="false" indent="0" shrinkToFit="false"/>
      <protection locked="true" hidden="false"/>
    </xf>
    <xf numFmtId="165" fontId="0" fillId="7" borderId="0" xfId="0" applyFont="false" applyBorder="false" applyAlignment="false" applyProtection="false">
      <alignment horizontal="general" vertical="bottom" textRotation="0" wrapText="false" indent="0" shrinkToFit="false"/>
      <protection locked="true" hidden="false"/>
    </xf>
    <xf numFmtId="165" fontId="30" fillId="0" borderId="0" xfId="0" applyFont="true" applyBorder="false" applyAlignment="false" applyProtection="false">
      <alignment horizontal="general" vertical="bottom" textRotation="0" wrapText="false" indent="0" shrinkToFit="false"/>
      <protection locked="true" hidden="false"/>
    </xf>
    <xf numFmtId="174" fontId="0" fillId="7" borderId="0" xfId="0" applyFont="false" applyBorder="false" applyAlignment="false" applyProtection="false">
      <alignment horizontal="general" vertical="bottom" textRotation="0" wrapText="false" indent="0" shrinkToFit="false"/>
      <protection locked="true" hidden="false"/>
    </xf>
    <xf numFmtId="174" fontId="30" fillId="0" borderId="0" xfId="0" applyFont="true" applyBorder="false" applyAlignment="false" applyProtection="false">
      <alignment horizontal="general" vertical="bottom" textRotation="0" wrapText="false" indent="0" shrinkToFit="false"/>
      <protection locked="true" hidden="false"/>
    </xf>
    <xf numFmtId="179" fontId="9" fillId="0" borderId="0" xfId="0" applyFont="true" applyBorder="false" applyAlignment="false" applyProtection="false">
      <alignment horizontal="general" vertical="bottom" textRotation="0" wrapText="false" indent="0" shrinkToFit="false"/>
      <protection locked="true" hidden="false"/>
    </xf>
    <xf numFmtId="179" fontId="30"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1" fontId="30"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5" fontId="30" fillId="0" borderId="0" xfId="0" applyFont="true" applyBorder="false" applyAlignment="false" applyProtection="false">
      <alignment horizontal="general" vertical="bottom" textRotation="0" wrapText="false" indent="0" shrinkToFit="false"/>
      <protection locked="true" hidden="false"/>
    </xf>
    <xf numFmtId="173" fontId="15" fillId="0"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80" fontId="35"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80" fontId="0" fillId="0" borderId="0" xfId="0" applyFont="false" applyBorder="fals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7" fontId="0" fillId="4" borderId="2" xfId="0" applyFont="false" applyBorder="true" applyAlignment="false" applyProtection="false">
      <alignment horizontal="general" vertical="bottom" textRotation="0" wrapText="false" indent="0" shrinkToFit="false"/>
      <protection locked="true" hidden="false"/>
    </xf>
    <xf numFmtId="167" fontId="9" fillId="4" borderId="2" xfId="0" applyFont="true" applyBorder="true" applyAlignment="false" applyProtection="false">
      <alignment horizontal="general" vertical="bottom" textRotation="0" wrapText="false" indent="0" shrinkToFit="false"/>
      <protection locked="true" hidden="false"/>
    </xf>
    <xf numFmtId="173" fontId="22" fillId="0" borderId="0" xfId="0" applyFont="true" applyBorder="false" applyAlignment="false" applyProtection="false">
      <alignment horizontal="general" vertical="bottom" textRotation="0" wrapText="false" indent="0" shrinkToFit="false"/>
      <protection locked="true" hidden="false"/>
    </xf>
    <xf numFmtId="168" fontId="30" fillId="4" borderId="2" xfId="0" applyFont="true" applyBorder="true" applyAlignment="false" applyProtection="false">
      <alignment horizontal="general" vertical="bottom" textRotation="0" wrapText="false" indent="0" shrinkToFit="false"/>
      <protection locked="true" hidden="false"/>
    </xf>
    <xf numFmtId="175" fontId="16"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74" fontId="22" fillId="4" borderId="0" xfId="0" applyFont="true" applyBorder="false" applyAlignment="false" applyProtection="false">
      <alignment horizontal="general" vertical="bottom" textRotation="0" wrapText="false" indent="0" shrinkToFit="false"/>
      <protection locked="true" hidden="false"/>
    </xf>
    <xf numFmtId="174" fontId="22" fillId="0" borderId="0" xfId="0" applyFont="true" applyBorder="false" applyAlignment="false" applyProtection="false">
      <alignment horizontal="general" vertical="bottom" textRotation="0" wrapText="false" indent="0" shrinkToFit="false"/>
      <protection locked="true" hidden="false"/>
    </xf>
    <xf numFmtId="176" fontId="22" fillId="4" borderId="2" xfId="0" applyFont="true" applyBorder="true" applyAlignment="false" applyProtection="false">
      <alignment horizontal="general" vertical="bottom" textRotation="0" wrapText="false" indent="0" shrinkToFit="false"/>
      <protection locked="true" hidden="false"/>
    </xf>
    <xf numFmtId="170" fontId="22" fillId="6"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3" fontId="30" fillId="0" borderId="0" xfId="0" applyFont="true" applyBorder="false" applyAlignment="false" applyProtection="false">
      <alignment horizontal="general" vertical="bottom" textRotation="0" wrapText="false" indent="0" shrinkToFit="false"/>
      <protection locked="true" hidden="false"/>
    </xf>
    <xf numFmtId="173" fontId="15" fillId="3"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68" fontId="15" fillId="3"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8" fontId="22" fillId="4" borderId="0" xfId="0" applyFont="true" applyBorder="false" applyAlignment="false" applyProtection="false">
      <alignment horizontal="general" vertical="bottom" textRotation="0" wrapText="false" indent="0" shrinkToFit="false"/>
      <protection locked="true" hidden="false"/>
    </xf>
    <xf numFmtId="171" fontId="15" fillId="8"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70" fontId="15" fillId="3" borderId="0" xfId="0" applyFont="true" applyBorder="false" applyAlignment="false" applyProtection="false">
      <alignment horizontal="general" vertical="bottom" textRotation="0" wrapText="false" indent="0" shrinkToFit="false"/>
      <protection locked="true" hidden="false"/>
    </xf>
    <xf numFmtId="175" fontId="15" fillId="3" borderId="0" xfId="0" applyFont="true" applyBorder="false" applyAlignment="false" applyProtection="false">
      <alignment horizontal="general" vertical="bottom" textRotation="0" wrapText="false" indent="0" shrinkToFit="false"/>
      <protection locked="true" hidden="false"/>
    </xf>
    <xf numFmtId="175" fontId="22" fillId="0" borderId="0" xfId="0" applyFont="true" applyBorder="false" applyAlignment="false" applyProtection="false">
      <alignment horizontal="general" vertical="bottom" textRotation="0" wrapText="false" indent="0" shrinkToFit="false"/>
      <protection locked="true" hidden="false"/>
    </xf>
    <xf numFmtId="171" fontId="15" fillId="3" borderId="0" xfId="0" applyFont="true" applyBorder="false" applyAlignment="false" applyProtection="false">
      <alignment horizontal="general" vertical="bottom" textRotation="0" wrapText="false" indent="0" shrinkToFit="false"/>
      <protection locked="true" hidden="false"/>
    </xf>
    <xf numFmtId="174" fontId="15" fillId="3" borderId="0" xfId="0" applyFont="true" applyBorder="false" applyAlignment="false" applyProtection="false">
      <alignment horizontal="general" vertical="bottom" textRotation="0" wrapText="false" indent="0" shrinkToFit="false"/>
      <protection locked="true" hidden="false"/>
    </xf>
    <xf numFmtId="179" fontId="15" fillId="3" borderId="0" xfId="0" applyFont="true" applyBorder="false" applyAlignment="false" applyProtection="false">
      <alignment horizontal="general" vertical="bottom" textRotation="0" wrapText="false" indent="0" shrinkToFit="false"/>
      <protection locked="true" hidden="false"/>
    </xf>
    <xf numFmtId="179" fontId="22" fillId="6" borderId="0" xfId="0" applyFont="true" applyBorder="false" applyAlignment="false" applyProtection="false">
      <alignment horizontal="general" vertical="bottom" textRotation="0" wrapText="false" indent="0" shrinkToFit="false"/>
      <protection locked="true" hidden="false"/>
    </xf>
    <xf numFmtId="171" fontId="22" fillId="6" borderId="0" xfId="0" applyFont="true" applyBorder="false" applyAlignment="false" applyProtection="false">
      <alignment horizontal="general" vertical="bottom" textRotation="0" wrapText="false" indent="0" shrinkToFit="false"/>
      <protection locked="true" hidden="false"/>
    </xf>
    <xf numFmtId="165" fontId="22" fillId="6"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1"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80" fontId="0" fillId="0" borderId="0" xfId="0" applyFont="false" applyBorder="false" applyAlignment="true" applyProtection="false">
      <alignment horizontal="center" vertical="bottom" textRotation="0" wrapText="false" indent="0" shrinkToFit="false"/>
      <protection locked="true" hidden="false"/>
    </xf>
    <xf numFmtId="180" fontId="15" fillId="3" borderId="0" xfId="0" applyFont="true" applyBorder="false" applyAlignment="true" applyProtection="false">
      <alignment horizontal="center" vertical="bottom" textRotation="0" wrapText="false" indent="0" shrinkToFit="false"/>
      <protection locked="true" hidden="false"/>
    </xf>
    <xf numFmtId="168" fontId="0" fillId="0" borderId="0" xfId="0" applyFont="false" applyBorder="false" applyAlignment="true" applyProtection="false">
      <alignment horizontal="center" vertical="bottom" textRotation="0" wrapText="false" indent="0" shrinkToFit="false"/>
      <protection locked="true" hidden="false"/>
    </xf>
    <xf numFmtId="170" fontId="0" fillId="0" borderId="0" xfId="0" applyFont="false" applyBorder="false" applyAlignment="true" applyProtection="false">
      <alignment horizontal="center" vertical="bottom" textRotation="0" wrapText="false" indent="0" shrinkToFit="false"/>
      <protection locked="true" hidden="false"/>
    </xf>
    <xf numFmtId="175" fontId="0" fillId="0" borderId="0" xfId="0" applyFont="false" applyBorder="false" applyAlignment="true" applyProtection="false">
      <alignment horizontal="center"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4BACC6"/>
      <rgbColor rgb="FF98B855"/>
      <rgbColor rgb="FFFFCC00"/>
      <rgbColor rgb="FFFF9900"/>
      <rgbColor rgb="FFFF6600"/>
      <rgbColor rgb="FF5A6E77"/>
      <rgbColor rgb="FF999999"/>
      <rgbColor rgb="FF003B46"/>
      <rgbColor rgb="FF4F81BD"/>
      <rgbColor rgb="FF032330"/>
      <rgbColor rgb="FF333300"/>
      <rgbColor rgb="FF9C1C1C"/>
      <rgbColor rgb="FFC0504D"/>
      <rgbColor rgb="FF8064A2"/>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ARR by segment (EUR)</a:t>
            </a:r>
          </a:p>
        </c:rich>
      </c:tx>
      <c:overlay val="0"/>
      <c:spPr>
        <a:noFill/>
        <a:ln w="0">
          <a:noFill/>
        </a:ln>
      </c:spPr>
    </c:title>
    <c:autoTitleDeleted val="0"/>
    <c:plotArea>
      <c:barChart>
        <c:barDir val="col"/>
        <c:grouping val="stacked"/>
        <c:varyColors val="0"/>
        <c:ser>
          <c:idx val="0"/>
          <c:order val="0"/>
          <c:tx>
            <c:strRef>
              <c:f>"Essentials"</c:f>
              <c:strCache>
                <c:ptCount val="1"/>
                <c:pt idx="0">
                  <c:v>Essentials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ARR_Bridge!$E$16:$AB$16</c:f>
              <c:numCache>
                <c:formatCode>#,##0;\(#,##0\);\-</c:formatCode>
                <c:ptCount val="24"/>
                <c:pt idx="0">
                  <c:v>2099738.88</c:v>
                </c:pt>
                <c:pt idx="1">
                  <c:v>2133542.28</c:v>
                </c:pt>
                <c:pt idx="2">
                  <c:v>2189301.6</c:v>
                </c:pt>
                <c:pt idx="3">
                  <c:v>2223196.32</c:v>
                </c:pt>
                <c:pt idx="4">
                  <c:v>2240040.84</c:v>
                </c:pt>
                <c:pt idx="5">
                  <c:v>2256128.04</c:v>
                </c:pt>
                <c:pt idx="6">
                  <c:v>2317104.96</c:v>
                </c:pt>
                <c:pt idx="7">
                  <c:v>2325518.4</c:v>
                </c:pt>
                <c:pt idx="8">
                  <c:v>2370126.50388</c:v>
                </c:pt>
                <c:pt idx="9">
                  <c:v>2416679.77991163</c:v>
                </c:pt>
                <c:pt idx="10">
                  <c:v>2454925.56487483</c:v>
                </c:pt>
                <c:pt idx="11">
                  <c:v>2479449.23161651</c:v>
                </c:pt>
                <c:pt idx="12">
                  <c:v>2658349.98505248</c:v>
                </c:pt>
                <c:pt idx="13">
                  <c:v>2701285.2120314</c:v>
                </c:pt>
                <c:pt idx="14">
                  <c:v>2741230.18318859</c:v>
                </c:pt>
                <c:pt idx="15">
                  <c:v>2776546.18386625</c:v>
                </c:pt>
                <c:pt idx="16">
                  <c:v>2811584.92543165</c:v>
                </c:pt>
                <c:pt idx="17">
                  <c:v>2842198.53962976</c:v>
                </c:pt>
                <c:pt idx="18">
                  <c:v>2864715.88777054</c:v>
                </c:pt>
                <c:pt idx="19">
                  <c:v>2873808.63058961</c:v>
                </c:pt>
                <c:pt idx="20">
                  <c:v>2914758.01998969</c:v>
                </c:pt>
                <c:pt idx="21">
                  <c:v>2958190.12089069</c:v>
                </c:pt>
                <c:pt idx="22">
                  <c:v>2992893.97225696</c:v>
                </c:pt>
                <c:pt idx="23">
                  <c:v>3013416.05637972</c:v>
                </c:pt>
              </c:numCache>
            </c:numRef>
          </c:val>
        </c:ser>
        <c:ser>
          <c:idx val="1"/>
          <c:order val="1"/>
          <c:tx>
            <c:strRef>
              <c:f>"Professional"</c:f>
              <c:strCache>
                <c:ptCount val="1"/>
                <c:pt idx="0">
                  <c:v>Professional</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ARR_Bridge!$E$31:$AB$31</c:f>
              <c:numCache>
                <c:formatCode>#,##0;\(#,##0\);\-</c:formatCode>
                <c:ptCount val="24"/>
                <c:pt idx="0">
                  <c:v>1938453.12</c:v>
                </c:pt>
                <c:pt idx="1">
                  <c:v>1970662.44</c:v>
                </c:pt>
                <c:pt idx="2">
                  <c:v>2018101.08</c:v>
                </c:pt>
                <c:pt idx="3">
                  <c:v>2083287.6</c:v>
                </c:pt>
                <c:pt idx="4">
                  <c:v>2096854.32</c:v>
                </c:pt>
                <c:pt idx="5">
                  <c:v>2157434.16</c:v>
                </c:pt>
                <c:pt idx="6">
                  <c:v>2206367.52</c:v>
                </c:pt>
                <c:pt idx="7">
                  <c:v>2248426.92</c:v>
                </c:pt>
                <c:pt idx="8">
                  <c:v>2309241.37429536</c:v>
                </c:pt>
                <c:pt idx="9">
                  <c:v>2372801.25069323</c:v>
                </c:pt>
                <c:pt idx="10">
                  <c:v>2426224.94950777</c:v>
                </c:pt>
                <c:pt idx="11">
                  <c:v>2474028.19185139</c:v>
                </c:pt>
                <c:pt idx="12">
                  <c:v>2531158.98165333</c:v>
                </c:pt>
                <c:pt idx="13">
                  <c:v>2591030.2238501</c:v>
                </c:pt>
                <c:pt idx="14">
                  <c:v>2644777.79750517</c:v>
                </c:pt>
                <c:pt idx="15">
                  <c:v>2699059.76673379</c:v>
                </c:pt>
                <c:pt idx="16">
                  <c:v>2756210.59245692</c:v>
                </c:pt>
                <c:pt idx="17">
                  <c:v>2810336.57704429</c:v>
                </c:pt>
                <c:pt idx="18">
                  <c:v>2858140.2509805</c:v>
                </c:pt>
                <c:pt idx="19">
                  <c:v>2898986.65677518</c:v>
                </c:pt>
                <c:pt idx="20">
                  <c:v>2959598.11322175</c:v>
                </c:pt>
                <c:pt idx="21">
                  <c:v>3022841.3860644</c:v>
                </c:pt>
                <c:pt idx="22">
                  <c:v>3081542.7192238</c:v>
                </c:pt>
                <c:pt idx="23">
                  <c:v>3133454.26190107</c:v>
                </c:pt>
              </c:numCache>
            </c:numRef>
          </c:val>
        </c:ser>
        <c:ser>
          <c:idx val="2"/>
          <c:order val="2"/>
          <c:tx>
            <c:strRef>
              <c:f>"Enterprise"</c:f>
              <c:strCache>
                <c:ptCount val="1"/>
                <c:pt idx="0">
                  <c:v>Enterprise</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ARR_Bridge!$E$46:$AB$46</c:f>
              <c:numCache>
                <c:formatCode>#,##0;\(#,##0\);\-</c:formatCode>
                <c:ptCount val="24"/>
                <c:pt idx="0">
                  <c:v>1634001.12</c:v>
                </c:pt>
                <c:pt idx="1">
                  <c:v>1551341.28</c:v>
                </c:pt>
                <c:pt idx="2">
                  <c:v>1578999</c:v>
                </c:pt>
                <c:pt idx="3">
                  <c:v>1720179.6</c:v>
                </c:pt>
                <c:pt idx="4">
                  <c:v>1740344.4</c:v>
                </c:pt>
                <c:pt idx="5">
                  <c:v>1753046.28</c:v>
                </c:pt>
                <c:pt idx="6">
                  <c:v>1827735</c:v>
                </c:pt>
                <c:pt idx="7">
                  <c:v>1827735</c:v>
                </c:pt>
                <c:pt idx="8">
                  <c:v>1829715.61209168</c:v>
                </c:pt>
                <c:pt idx="9">
                  <c:v>1829341.78846128</c:v>
                </c:pt>
                <c:pt idx="10">
                  <c:v>1881274.18364448</c:v>
                </c:pt>
                <c:pt idx="11">
                  <c:v>1935274.18364448</c:v>
                </c:pt>
                <c:pt idx="12">
                  <c:v>1942368.15051048</c:v>
                </c:pt>
                <c:pt idx="13">
                  <c:v>1974768.15051048</c:v>
                </c:pt>
                <c:pt idx="14">
                  <c:v>2015888.85453228</c:v>
                </c:pt>
                <c:pt idx="15">
                  <c:v>2056119.30886188</c:v>
                </c:pt>
                <c:pt idx="16">
                  <c:v>2057928.869019</c:v>
                </c:pt>
                <c:pt idx="17">
                  <c:v>2102849.17625148</c:v>
                </c:pt>
                <c:pt idx="18">
                  <c:v>2148611.22770364</c:v>
                </c:pt>
                <c:pt idx="19">
                  <c:v>2192711.22770364</c:v>
                </c:pt>
                <c:pt idx="20">
                  <c:v>2238851.77117505</c:v>
                </c:pt>
                <c:pt idx="21">
                  <c:v>2282579.36209327</c:v>
                </c:pt>
                <c:pt idx="22">
                  <c:v>2328290.44370307</c:v>
                </c:pt>
                <c:pt idx="23">
                  <c:v>2373871.39370307</c:v>
                </c:pt>
              </c:numCache>
            </c:numRef>
          </c:val>
        </c:ser>
        <c:gapWidth val="150"/>
        <c:overlap val="100"/>
        <c:axId val="43291116"/>
        <c:axId val="4842472"/>
      </c:barChart>
      <c:catAx>
        <c:axId val="43291116"/>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842472"/>
        <c:crosses val="autoZero"/>
        <c:auto val="1"/>
        <c:lblAlgn val="ctr"/>
        <c:lblOffset val="100"/>
        <c:noMultiLvlLbl val="0"/>
      </c:catAx>
      <c:valAx>
        <c:axId val="484247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291116"/>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MRR movements by month (EUR)</a:t>
            </a:r>
          </a:p>
        </c:rich>
      </c:tx>
      <c:overlay val="0"/>
      <c:spPr>
        <a:noFill/>
        <a:ln w="0">
          <a:noFill/>
        </a:ln>
      </c:spPr>
    </c:title>
    <c:autoTitleDeleted val="0"/>
    <c:plotArea>
      <c:barChart>
        <c:barDir val="col"/>
        <c:grouping val="stacked"/>
        <c:varyColors val="0"/>
        <c:ser>
          <c:idx val="0"/>
          <c:order val="0"/>
          <c:tx>
            <c:strRef>
              <c:f>"New customers"</c:f>
              <c:strCache>
                <c:ptCount val="1"/>
                <c:pt idx="0">
                  <c:v>New customers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ARR_Bridge!$E$55:$AB$55</c:f>
              <c:numCache>
                <c:formatCode>#,##0;\(#,##0\);\-</c:formatCode>
                <c:ptCount val="24"/>
                <c:pt idx="0">
                  <c:v>14644.77</c:v>
                </c:pt>
                <c:pt idx="1">
                  <c:v>11106.27</c:v>
                </c:pt>
                <c:pt idx="2">
                  <c:v>13970.62</c:v>
                </c:pt>
                <c:pt idx="3">
                  <c:v>21924.04</c:v>
                </c:pt>
                <c:pt idx="4">
                  <c:v>7429.98</c:v>
                </c:pt>
                <c:pt idx="5">
                  <c:v>10786.34</c:v>
                </c:pt>
                <c:pt idx="6">
                  <c:v>16611.36</c:v>
                </c:pt>
                <c:pt idx="7">
                  <c:v>9140.67</c:v>
                </c:pt>
                <c:pt idx="8">
                  <c:v>11072.33515</c:v>
                </c:pt>
                <c:pt idx="9">
                  <c:v>11482.0451</c:v>
                </c:pt>
                <c:pt idx="10">
                  <c:v>14777.2619</c:v>
                </c:pt>
                <c:pt idx="11">
                  <c:v>13213.70715</c:v>
                </c:pt>
                <c:pt idx="12">
                  <c:v>16058.2371975</c:v>
                </c:pt>
                <c:pt idx="13">
                  <c:v>14325.9519075</c:v>
                </c:pt>
                <c:pt idx="14">
                  <c:v>14422.50471</c:v>
                </c:pt>
                <c:pt idx="15">
                  <c:v>13764.49353</c:v>
                </c:pt>
                <c:pt idx="16">
                  <c:v>10764.49353</c:v>
                </c:pt>
                <c:pt idx="17">
                  <c:v>13901.48235</c:v>
                </c:pt>
                <c:pt idx="18">
                  <c:v>12824.3925075</c:v>
                </c:pt>
                <c:pt idx="19">
                  <c:v>10994.7275025</c:v>
                </c:pt>
                <c:pt idx="20">
                  <c:v>15300.9519075</c:v>
                </c:pt>
                <c:pt idx="21">
                  <c:v>15731.147355</c:v>
                </c:pt>
                <c:pt idx="22">
                  <c:v>14655.124995</c:v>
                </c:pt>
                <c:pt idx="23">
                  <c:v>12824.3925075</c:v>
                </c:pt>
              </c:numCache>
            </c:numRef>
          </c:val>
        </c:ser>
        <c:ser>
          <c:idx val="1"/>
          <c:order val="1"/>
          <c:tx>
            <c:strRef>
              <c:f>"Expansion"</c:f>
              <c:strCache>
                <c:ptCount val="1"/>
                <c:pt idx="0">
                  <c:v>Expansion</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ARR_Bridge!$E$56:$AB$56</c:f>
              <c:numCache>
                <c:formatCode>#,##0;\(#,##0\);\-</c:formatCode>
                <c:ptCount val="24"/>
                <c:pt idx="0">
                  <c:v>4876.57</c:v>
                </c:pt>
                <c:pt idx="1">
                  <c:v>2987.21</c:v>
                </c:pt>
                <c:pt idx="2">
                  <c:v>4650.84</c:v>
                </c:pt>
                <c:pt idx="3">
                  <c:v>3456.94</c:v>
                </c:pt>
                <c:pt idx="4">
                  <c:v>4741.77</c:v>
                </c:pt>
                <c:pt idx="5">
                  <c:v>4287.69</c:v>
                </c:pt>
                <c:pt idx="6">
                  <c:v>3566.57</c:v>
                </c:pt>
                <c:pt idx="7">
                  <c:v>3321.5</c:v>
                </c:pt>
                <c:pt idx="8">
                  <c:v>4466.58738332</c:v>
                </c:pt>
                <c:pt idx="9">
                  <c:v>3874.45055221071</c:v>
                </c:pt>
                <c:pt idx="10">
                  <c:v>4380.14996197008</c:v>
                </c:pt>
                <c:pt idx="11">
                  <c:v>3657.25901788719</c:v>
                </c:pt>
                <c:pt idx="12">
                  <c:v>5780.54216316409</c:v>
                </c:pt>
                <c:pt idx="13">
                  <c:v>3980.91372055375</c:v>
                </c:pt>
                <c:pt idx="14">
                  <c:v>5261.67374845103</c:v>
                </c:pt>
                <c:pt idx="15">
                  <c:v>5122.44708437593</c:v>
                </c:pt>
                <c:pt idx="16">
                  <c:v>4856.49422128578</c:v>
                </c:pt>
                <c:pt idx="17">
                  <c:v>4772.43047818021</c:v>
                </c:pt>
                <c:pt idx="18">
                  <c:v>5014.39798337839</c:v>
                </c:pt>
                <c:pt idx="19">
                  <c:v>4303.20933037771</c:v>
                </c:pt>
                <c:pt idx="20">
                  <c:v>5406.46855268028</c:v>
                </c:pt>
                <c:pt idx="21">
                  <c:v>4803.59083285452</c:v>
                </c:pt>
                <c:pt idx="22">
                  <c:v>5549.68109973356</c:v>
                </c:pt>
                <c:pt idx="23">
                  <c:v>4798.22335451407</c:v>
                </c:pt>
              </c:numCache>
            </c:numRef>
          </c:val>
        </c:ser>
        <c:ser>
          <c:idx val="2"/>
          <c:order val="2"/>
          <c:tx>
            <c:strRef>
              <c:f>"Price"</c:f>
              <c:strCache>
                <c:ptCount val="1"/>
                <c:pt idx="0">
                  <c:v>Price</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ARR_Bridge!$E$57:$AB$57</c:f>
              <c:numCache>
                <c:formatCode>#,##0;\(#,##0\);\-</c:formatCode>
                <c:ptCount val="24"/>
                <c:pt idx="0">
                  <c:v>9743.53</c:v>
                </c:pt>
                <c:pt idx="1">
                  <c:v>373.57</c:v>
                </c:pt>
                <c:pt idx="2">
                  <c:v>1131.66</c:v>
                </c:pt>
                <c:pt idx="3">
                  <c:v>774.8</c:v>
                </c:pt>
                <c:pt idx="4">
                  <c:v>927.99</c:v>
                </c:pt>
                <c:pt idx="5">
                  <c:v>825.78</c:v>
                </c:pt>
                <c:pt idx="6">
                  <c:v>854.24</c:v>
                </c:pt>
                <c:pt idx="7">
                  <c:v>350.54</c:v>
                </c:pt>
                <c:pt idx="8">
                  <c:v>1099.3364336</c:v>
                </c:pt>
                <c:pt idx="9">
                  <c:v>690.2151574273</c:v>
                </c:pt>
                <c:pt idx="10">
                  <c:v>1016.71707354959</c:v>
                </c:pt>
                <c:pt idx="11">
                  <c:v>459.087089447054</c:v>
                </c:pt>
                <c:pt idx="12">
                  <c:v>12257.7850765186</c:v>
                </c:pt>
                <c:pt idx="13">
                  <c:v>576.665725293727</c:v>
                </c:pt>
                <c:pt idx="14">
                  <c:v>1474.64244211266</c:v>
                </c:pt>
                <c:pt idx="15">
                  <c:v>1326.72775156356</c:v>
                </c:pt>
                <c:pt idx="16">
                  <c:v>1079.71163954733</c:v>
                </c:pt>
                <c:pt idx="17">
                  <c:v>1031.13275904955</c:v>
                </c:pt>
                <c:pt idx="18">
                  <c:v>1229.5414866982</c:v>
                </c:pt>
                <c:pt idx="19">
                  <c:v>574.249257830423</c:v>
                </c:pt>
                <c:pt idx="20">
                  <c:v>1315.15323621913</c:v>
                </c:pt>
                <c:pt idx="21">
                  <c:v>903.674676815168</c:v>
                </c:pt>
                <c:pt idx="22">
                  <c:v>1338.62864056797</c:v>
                </c:pt>
                <c:pt idx="23">
                  <c:v>753.582900032157</c:v>
                </c:pt>
              </c:numCache>
            </c:numRef>
          </c:val>
        </c:ser>
        <c:ser>
          <c:idx val="3"/>
          <c:order val="3"/>
          <c:tx>
            <c:strRef>
              <c:f>"Contraction"</c:f>
              <c:strCache>
                <c:ptCount val="1"/>
                <c:pt idx="0">
                  <c:v>Contraction</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ARR_Bridge!$E$58:$AB$58</c:f>
              <c:numCache>
                <c:formatCode>#,##0;\(#,##0\);\-</c:formatCode>
                <c:ptCount val="24"/>
                <c:pt idx="0">
                  <c:v>-1469.01</c:v>
                </c:pt>
                <c:pt idx="1">
                  <c:v>-833.23</c:v>
                </c:pt>
                <c:pt idx="2">
                  <c:v>-1337.63</c:v>
                </c:pt>
                <c:pt idx="3">
                  <c:v>-1054.78</c:v>
                </c:pt>
                <c:pt idx="4">
                  <c:v>-943.27</c:v>
                </c:pt>
                <c:pt idx="5">
                  <c:v>-995.9</c:v>
                </c:pt>
                <c:pt idx="6">
                  <c:v>-1302.93</c:v>
                </c:pt>
                <c:pt idx="7">
                  <c:v>-1036.43</c:v>
                </c:pt>
                <c:pt idx="8">
                  <c:v>-1093.895368</c:v>
                </c:pt>
                <c:pt idx="9">
                  <c:v>-1076.767648109</c:v>
                </c:pt>
                <c:pt idx="10">
                  <c:v>-1143.88823783191</c:v>
                </c:pt>
                <c:pt idx="11">
                  <c:v>-1121.33363289627</c:v>
                </c:pt>
                <c:pt idx="12">
                  <c:v>-1500.81966945656</c:v>
                </c:pt>
                <c:pt idx="13">
                  <c:v>-1250.99654394272</c:v>
                </c:pt>
                <c:pt idx="14">
                  <c:v>-1383.45935701223</c:v>
                </c:pt>
                <c:pt idx="15">
                  <c:v>-1394.89457708236</c:v>
                </c:pt>
                <c:pt idx="16">
                  <c:v>-1359.42952168404</c:v>
                </c:pt>
                <c:pt idx="17">
                  <c:v>-1335.94277501576</c:v>
                </c:pt>
                <c:pt idx="18">
                  <c:v>-1458.80596865549</c:v>
                </c:pt>
                <c:pt idx="19">
                  <c:v>-1330.18869066164</c:v>
                </c:pt>
                <c:pt idx="20">
                  <c:v>-1405.23202551608</c:v>
                </c:pt>
                <c:pt idx="21">
                  <c:v>-1388.77871421415</c:v>
                </c:pt>
                <c:pt idx="22">
                  <c:v>-1426.16726174742</c:v>
                </c:pt>
                <c:pt idx="23">
                  <c:v>-1392.97360888555</c:v>
                </c:pt>
              </c:numCache>
            </c:numRef>
          </c:val>
        </c:ser>
        <c:ser>
          <c:idx val="4"/>
          <c:order val="4"/>
          <c:tx>
            <c:strRef>
              <c:f>"Churn"</c:f>
              <c:strCache>
                <c:ptCount val="1"/>
                <c:pt idx="0">
                  <c:v>Churn</c:v>
                </c:pt>
              </c:strCache>
            </c:strRef>
          </c:tx>
          <c:spPr>
            <a:solidFill>
              <a:srgbClr val="4bacc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ARR_Bridge!$E$59:$AB$59</c:f>
              <c:numCache>
                <c:formatCode>#,##0;\(#,##0\);\-</c:formatCode>
                <c:ptCount val="24"/>
                <c:pt idx="0">
                  <c:v>-7960.36</c:v>
                </c:pt>
                <c:pt idx="1">
                  <c:v>-15021.08</c:v>
                </c:pt>
                <c:pt idx="2">
                  <c:v>-7510.85</c:v>
                </c:pt>
                <c:pt idx="3">
                  <c:v>-5079.18</c:v>
                </c:pt>
                <c:pt idx="4">
                  <c:v>-7941.8</c:v>
                </c:pt>
                <c:pt idx="5">
                  <c:v>-7456.5</c:v>
                </c:pt>
                <c:pt idx="6">
                  <c:v>-4345.99</c:v>
                </c:pt>
                <c:pt idx="7">
                  <c:v>-7570.21</c:v>
                </c:pt>
                <c:pt idx="8">
                  <c:v>-6594.09941</c:v>
                </c:pt>
                <c:pt idx="9">
                  <c:v>-5824.9990949374</c:v>
                </c:pt>
                <c:pt idx="10">
                  <c:v>-7063.41745094356</c:v>
                </c:pt>
                <c:pt idx="11">
                  <c:v>-5681.4772006618</c:v>
                </c:pt>
                <c:pt idx="12">
                  <c:v>-12335.2855924013</c:v>
                </c:pt>
                <c:pt idx="13">
                  <c:v>-6365.32904476319</c:v>
                </c:pt>
                <c:pt idx="14">
                  <c:v>-8540.92414071279</c:v>
                </c:pt>
                <c:pt idx="15">
                  <c:v>-7999.73843586794</c:v>
                </c:pt>
                <c:pt idx="16">
                  <c:v>-7508.00924867767</c:v>
                </c:pt>
                <c:pt idx="17">
                  <c:v>-7564.110644051</c:v>
                </c:pt>
                <c:pt idx="18">
                  <c:v>-7935.93654815861</c:v>
                </c:pt>
                <c:pt idx="19">
                  <c:v>-6705.40168223386</c:v>
                </c:pt>
                <c:pt idx="20">
                  <c:v>-8308.89256104548</c:v>
                </c:pt>
                <c:pt idx="21">
                  <c:v>-7516.05376196575</c:v>
                </c:pt>
                <c:pt idx="22">
                  <c:v>-8524.24529559831</c:v>
                </c:pt>
                <c:pt idx="23">
                  <c:v>-7148.67708649242</c:v>
                </c:pt>
              </c:numCache>
            </c:numRef>
          </c:val>
        </c:ser>
        <c:gapWidth val="150"/>
        <c:overlap val="100"/>
        <c:axId val="88052753"/>
        <c:axId val="3451716"/>
      </c:barChart>
      <c:catAx>
        <c:axId val="88052753"/>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51716"/>
        <c:crosses val="autoZero"/>
        <c:auto val="1"/>
        <c:lblAlgn val="ctr"/>
        <c:lblOffset val="100"/>
        <c:noMultiLvlLbl val="0"/>
      </c:catAx>
      <c:valAx>
        <c:axId val="345171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05275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and gross revenue retention, trailing 12 months</a:t>
            </a:r>
          </a:p>
        </c:rich>
      </c:tx>
      <c:overlay val="0"/>
      <c:spPr>
        <a:noFill/>
        <a:ln w="0">
          <a:noFill/>
        </a:ln>
      </c:spPr>
    </c:title>
    <c:autoTitleDeleted val="0"/>
    <c:plotArea>
      <c:lineChart>
        <c:grouping val="standard"/>
        <c:varyColors val="0"/>
        <c:ser>
          <c:idx val="0"/>
          <c:order val="0"/>
          <c:tx>
            <c:strRef>
              <c:f>"Net revenue retention"</c:f>
              <c:strCache>
                <c:ptCount val="1"/>
                <c:pt idx="0">
                  <c:v>Net revenue retention</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ARR_Bridge!$E$66:$AB$66</c:f>
              <c:numCache>
                <c:formatCode>0.0%;\(0.0%\);\-</c:formatCode>
                <c:ptCount val="24"/>
                <c:pt idx="0">
                  <c:v>0.963638219295981</c:v>
                </c:pt>
                <c:pt idx="1">
                  <c:v>0.933157916138608</c:v>
                </c:pt>
                <c:pt idx="2">
                  <c:v>0.923455267636977</c:v>
                </c:pt>
                <c:pt idx="3">
                  <c:v>0.931787199198927</c:v>
                </c:pt>
                <c:pt idx="4">
                  <c:v>0.928964391531547</c:v>
                </c:pt>
                <c:pt idx="5">
                  <c:v>0.924762237274826</c:v>
                </c:pt>
                <c:pt idx="6">
                  <c:v>0.928759395386082</c:v>
                </c:pt>
                <c:pt idx="7">
                  <c:v>0.92439209419095</c:v>
                </c:pt>
                <c:pt idx="8">
                  <c:v>0.922210764924804</c:v>
                </c:pt>
                <c:pt idx="9">
                  <c:v>0.926052560305454</c:v>
                </c:pt>
                <c:pt idx="10">
                  <c:v>0.924685143730504</c:v>
                </c:pt>
                <c:pt idx="11">
                  <c:v>0.922834853027557</c:v>
                </c:pt>
                <c:pt idx="12">
                  <c:v>0.923981713663212</c:v>
                </c:pt>
                <c:pt idx="13">
                  <c:v>0.943776782212006</c:v>
                </c:pt>
                <c:pt idx="14">
                  <c:v>0.944795045380611</c:v>
                </c:pt>
                <c:pt idx="15">
                  <c:v>0.944918627168008</c:v>
                </c:pt>
                <c:pt idx="16">
                  <c:v>0.945937958846495</c:v>
                </c:pt>
                <c:pt idx="17">
                  <c:v>0.947193226482497</c:v>
                </c:pt>
                <c:pt idx="18">
                  <c:v>0.945095320057892</c:v>
                </c:pt>
                <c:pt idx="19">
                  <c:v>0.948858209253478</c:v>
                </c:pt>
                <c:pt idx="20">
                  <c:v>0.948097366104503</c:v>
                </c:pt>
                <c:pt idx="21">
                  <c:v>0.947397871478768</c:v>
                </c:pt>
                <c:pt idx="22">
                  <c:v>0.948068310667371</c:v>
                </c:pt>
                <c:pt idx="23">
                  <c:v>0.948492162968659</c:v>
                </c:pt>
              </c:numCache>
            </c:numRef>
          </c:val>
          <c:smooth val="1"/>
        </c:ser>
        <c:ser>
          <c:idx val="1"/>
          <c:order val="1"/>
          <c:tx>
            <c:strRef>
              <c:f>"Gross revenue retention"</c:f>
              <c:strCache>
                <c:ptCount val="1"/>
                <c:pt idx="0">
                  <c:v>Gross revenue retention</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ARR_Bridge!$E$67:$AB$67</c:f>
              <c:numCache>
                <c:formatCode>0.0%;\(0.0%\);\-</c:formatCode>
                <c:ptCount val="24"/>
                <c:pt idx="0">
                  <c:v>0.815573005203055</c:v>
                </c:pt>
                <c:pt idx="1">
                  <c:v>0.789413521469122</c:v>
                </c:pt>
                <c:pt idx="2">
                  <c:v>0.781530677315805</c:v>
                </c:pt>
                <c:pt idx="3">
                  <c:v>0.787418438076672</c:v>
                </c:pt>
                <c:pt idx="4">
                  <c:v>0.783213134953572</c:v>
                </c:pt>
                <c:pt idx="5">
                  <c:v>0.778130876003816</c:v>
                </c:pt>
                <c:pt idx="6">
                  <c:v>0.783611225551284</c:v>
                </c:pt>
                <c:pt idx="7">
                  <c:v>0.778307279443373</c:v>
                </c:pt>
                <c:pt idx="8">
                  <c:v>0.776921224273213</c:v>
                </c:pt>
                <c:pt idx="9">
                  <c:v>0.779104000257139</c:v>
                </c:pt>
                <c:pt idx="10">
                  <c:v>0.778574859315625</c:v>
                </c:pt>
                <c:pt idx="11">
                  <c:v>0.775953092785899</c:v>
                </c:pt>
                <c:pt idx="12">
                  <c:v>0.776032103846483</c:v>
                </c:pt>
                <c:pt idx="13">
                  <c:v>0.792852299896893</c:v>
                </c:pt>
                <c:pt idx="14">
                  <c:v>0.795305570853487</c:v>
                </c:pt>
                <c:pt idx="15">
                  <c:v>0.796973522614146</c:v>
                </c:pt>
                <c:pt idx="16">
                  <c:v>0.798697965084041</c:v>
                </c:pt>
                <c:pt idx="17">
                  <c:v>0.800744195920061</c:v>
                </c:pt>
                <c:pt idx="18">
                  <c:v>0.799458228165089</c:v>
                </c:pt>
                <c:pt idx="19">
                  <c:v>0.80210979891525</c:v>
                </c:pt>
                <c:pt idx="20">
                  <c:v>0.801639759969517</c:v>
                </c:pt>
                <c:pt idx="21">
                  <c:v>0.801296969528037</c:v>
                </c:pt>
                <c:pt idx="22">
                  <c:v>0.802423317908727</c:v>
                </c:pt>
                <c:pt idx="23">
                  <c:v>0.803017500054859</c:v>
                </c:pt>
              </c:numCache>
            </c:numRef>
          </c:val>
          <c:smooth val="1"/>
        </c:ser>
        <c:hiLowLines>
          <c:spPr>
            <a:ln w="0">
              <a:noFill/>
            </a:ln>
          </c:spPr>
        </c:hiLowLines>
        <c:marker val="0"/>
        <c:axId val="26018201"/>
        <c:axId val="87204149"/>
      </c:lineChart>
      <c:catAx>
        <c:axId val="26018201"/>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204149"/>
        <c:crosses val="autoZero"/>
        <c:auto val="1"/>
        <c:lblAlgn val="ctr"/>
        <c:lblOffset val="100"/>
        <c:noMultiLvlLbl val="0"/>
      </c:catAx>
      <c:valAx>
        <c:axId val="8720414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01820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at bank vs the covenant floor, and deferred revenue (EUR)</a:t>
            </a:r>
          </a:p>
        </c:rich>
      </c:tx>
      <c:overlay val="0"/>
      <c:spPr>
        <a:noFill/>
        <a:ln w="0">
          <a:noFill/>
        </a:ln>
      </c:spPr>
    </c:title>
    <c:autoTitleDeleted val="0"/>
    <c:plotArea>
      <c:lineChart>
        <c:grouping val="standard"/>
        <c:varyColors val="0"/>
        <c:ser>
          <c:idx val="0"/>
          <c:order val="0"/>
          <c:tx>
            <c:strRef>
              <c:f>"Cash at bank"</c:f>
              <c:strCache>
                <c:ptCount val="1"/>
                <c:pt idx="0">
                  <c:v>Cash at bank</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KPIs!$E$39:$AB$39</c:f>
              <c:numCache>
                <c:formatCode>#,##0;\(#,##0\);\-</c:formatCode>
                <c:ptCount val="24"/>
                <c:pt idx="0">
                  <c:v>4852248.1816</c:v>
                </c:pt>
                <c:pt idx="1">
                  <c:v>4995217.72625</c:v>
                </c:pt>
                <c:pt idx="2">
                  <c:v>5127022.9542</c:v>
                </c:pt>
                <c:pt idx="3">
                  <c:v>4707127.2234</c:v>
                </c:pt>
                <c:pt idx="4">
                  <c:v>4886441.5383</c:v>
                </c:pt>
                <c:pt idx="5">
                  <c:v>4735039.50395</c:v>
                </c:pt>
                <c:pt idx="6">
                  <c:v>4308764.706</c:v>
                </c:pt>
                <c:pt idx="7">
                  <c:v>4314216.6401</c:v>
                </c:pt>
                <c:pt idx="8">
                  <c:v>4227071.66234184</c:v>
                </c:pt>
                <c:pt idx="9">
                  <c:v>3890943.09508614</c:v>
                </c:pt>
                <c:pt idx="10">
                  <c:v>3926768.85566784</c:v>
                </c:pt>
                <c:pt idx="11">
                  <c:v>3695090.48338292</c:v>
                </c:pt>
                <c:pt idx="12">
                  <c:v>3305287.37684197</c:v>
                </c:pt>
                <c:pt idx="13">
                  <c:v>3251254.78257675</c:v>
                </c:pt>
                <c:pt idx="14">
                  <c:v>3290582.26839432</c:v>
                </c:pt>
                <c:pt idx="15">
                  <c:v>3120538.59672397</c:v>
                </c:pt>
                <c:pt idx="16">
                  <c:v>3188304.56351528</c:v>
                </c:pt>
                <c:pt idx="17">
                  <c:v>2873084.18723816</c:v>
                </c:pt>
                <c:pt idx="18">
                  <c:v>2680289.76338965</c:v>
                </c:pt>
                <c:pt idx="19">
                  <c:v>2687783.22894887</c:v>
                </c:pt>
                <c:pt idx="20">
                  <c:v>2538330.74839547</c:v>
                </c:pt>
                <c:pt idx="21">
                  <c:v>2387195.22314706</c:v>
                </c:pt>
                <c:pt idx="22">
                  <c:v>2370346.56512129</c:v>
                </c:pt>
                <c:pt idx="23">
                  <c:v>2041290.76337461</c:v>
                </c:pt>
              </c:numCache>
            </c:numRef>
          </c:val>
          <c:smooth val="1"/>
        </c:ser>
        <c:ser>
          <c:idx val="1"/>
          <c:order val="1"/>
          <c:tx>
            <c:strRef>
              <c:f>"Covenant floor"</c:f>
              <c:strCache>
                <c:ptCount val="1"/>
                <c:pt idx="0">
                  <c:v>Covenant floor</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KPIs!$E$40:$AB$40</c:f>
              <c:numCache>
                <c:formatCode>#,##0;\(#,##0\);\-</c:formatCode>
                <c:ptCount val="24"/>
                <c:pt idx="0">
                  <c:v>1000000</c:v>
                </c:pt>
                <c:pt idx="1">
                  <c:v>1000000</c:v>
                </c:pt>
                <c:pt idx="2">
                  <c:v>1000000</c:v>
                </c:pt>
                <c:pt idx="3">
                  <c:v>1000000</c:v>
                </c:pt>
                <c:pt idx="4">
                  <c:v>1000000</c:v>
                </c:pt>
                <c:pt idx="5">
                  <c:v>1000000</c:v>
                </c:pt>
                <c:pt idx="6">
                  <c:v>1000000</c:v>
                </c:pt>
                <c:pt idx="7">
                  <c:v>1000000</c:v>
                </c:pt>
                <c:pt idx="8">
                  <c:v>1000000</c:v>
                </c:pt>
                <c:pt idx="9">
                  <c:v>1000000</c:v>
                </c:pt>
                <c:pt idx="10">
                  <c:v>1000000</c:v>
                </c:pt>
                <c:pt idx="11">
                  <c:v>1000000</c:v>
                </c:pt>
                <c:pt idx="12">
                  <c:v>1000000</c:v>
                </c:pt>
                <c:pt idx="13">
                  <c:v>1000000</c:v>
                </c:pt>
                <c:pt idx="14">
                  <c:v>1000000</c:v>
                </c:pt>
                <c:pt idx="15">
                  <c:v>1000000</c:v>
                </c:pt>
                <c:pt idx="16">
                  <c:v>1000000</c:v>
                </c:pt>
                <c:pt idx="17">
                  <c:v>1000000</c:v>
                </c:pt>
                <c:pt idx="18">
                  <c:v>1000000</c:v>
                </c:pt>
                <c:pt idx="19">
                  <c:v>1000000</c:v>
                </c:pt>
                <c:pt idx="20">
                  <c:v>1000000</c:v>
                </c:pt>
                <c:pt idx="21">
                  <c:v>1000000</c:v>
                </c:pt>
                <c:pt idx="22">
                  <c:v>1000000</c:v>
                </c:pt>
                <c:pt idx="23">
                  <c:v>1000000</c:v>
                </c:pt>
              </c:numCache>
            </c:numRef>
          </c:val>
          <c:smooth val="1"/>
        </c:ser>
        <c:ser>
          <c:idx val="2"/>
          <c:order val="2"/>
          <c:tx>
            <c:strRef>
              <c:f>"Deferred revenue"</c:f>
              <c:strCache>
                <c:ptCount val="1"/>
                <c:pt idx="0">
                  <c:v>Deferred revenue</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Assumptions!$E$188:$AB$188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KPIs!$E$37:$AB$37</c:f>
              <c:numCache>
                <c:formatCode>#,##0;\(#,##0\);\-</c:formatCode>
                <c:ptCount val="24"/>
                <c:pt idx="0">
                  <c:v>1844226.46666667</c:v>
                </c:pt>
                <c:pt idx="1">
                  <c:v>1700961.44</c:v>
                </c:pt>
                <c:pt idx="2">
                  <c:v>1902384.6</c:v>
                </c:pt>
                <c:pt idx="3">
                  <c:v>2036736.93</c:v>
                </c:pt>
                <c:pt idx="4">
                  <c:v>2056238.20666667</c:v>
                </c:pt>
                <c:pt idx="5">
                  <c:v>2065941.72</c:v>
                </c:pt>
                <c:pt idx="6">
                  <c:v>2113131.20333333</c:v>
                </c:pt>
                <c:pt idx="7">
                  <c:v>1925978.65</c:v>
                </c:pt>
                <c:pt idx="8">
                  <c:v>2017997.50337812</c:v>
                </c:pt>
                <c:pt idx="9">
                  <c:v>1942844.49118093</c:v>
                </c:pt>
                <c:pt idx="10">
                  <c:v>2044117.40806446</c:v>
                </c:pt>
                <c:pt idx="11">
                  <c:v>1900824.07114503</c:v>
                </c:pt>
                <c:pt idx="12">
                  <c:v>2317658.8971608</c:v>
                </c:pt>
                <c:pt idx="13">
                  <c:v>2182661.76573625</c:v>
                </c:pt>
                <c:pt idx="14">
                  <c:v>2389274.30548778</c:v>
                </c:pt>
                <c:pt idx="15">
                  <c:v>2518952.74224886</c:v>
                </c:pt>
                <c:pt idx="16">
                  <c:v>2510595.09985648</c:v>
                </c:pt>
                <c:pt idx="17">
                  <c:v>2537156.99906281</c:v>
                </c:pt>
                <c:pt idx="18">
                  <c:v>2591016.50022324</c:v>
                </c:pt>
                <c:pt idx="19">
                  <c:v>2402776.09178593</c:v>
                </c:pt>
                <c:pt idx="20">
                  <c:v>2518698.89268713</c:v>
                </c:pt>
                <c:pt idx="21">
                  <c:v>2462623.29758437</c:v>
                </c:pt>
                <c:pt idx="22">
                  <c:v>2570320.70084983</c:v>
                </c:pt>
                <c:pt idx="23">
                  <c:v>2425685.65025804</c:v>
                </c:pt>
              </c:numCache>
            </c:numRef>
          </c:val>
          <c:smooth val="1"/>
        </c:ser>
        <c:hiLowLines>
          <c:spPr>
            <a:ln w="0">
              <a:noFill/>
            </a:ln>
          </c:spPr>
        </c:hiLowLines>
        <c:marker val="0"/>
        <c:axId val="28406523"/>
        <c:axId val="4735122"/>
      </c:lineChart>
      <c:catAx>
        <c:axId val="28406523"/>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35122"/>
        <c:crosses val="autoZero"/>
        <c:auto val="1"/>
        <c:lblAlgn val="ctr"/>
        <c:lblOffset val="100"/>
        <c:noMultiLvlLbl val="0"/>
      </c:catAx>
      <c:valAx>
        <c:axId val="473512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40652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45</xdr:row>
      <xdr:rowOff>160920</xdr:rowOff>
    </xdr:from>
    <xdr:to>
      <xdr:col>4</xdr:col>
      <xdr:colOff>730080</xdr:colOff>
      <xdr:row>60</xdr:row>
      <xdr:rowOff>2880</xdr:rowOff>
    </xdr:to>
    <xdr:graphicFrame>
      <xdr:nvGraphicFramePr>
        <xdr:cNvPr id="0" name="Chart 1"/>
        <xdr:cNvGraphicFramePr/>
      </xdr:nvGraphicFramePr>
      <xdr:xfrm>
        <a:off x="0" y="876312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61</xdr:row>
      <xdr:rowOff>160560</xdr:rowOff>
    </xdr:from>
    <xdr:to>
      <xdr:col>4</xdr:col>
      <xdr:colOff>730080</xdr:colOff>
      <xdr:row>76</xdr:row>
      <xdr:rowOff>2520</xdr:rowOff>
    </xdr:to>
    <xdr:graphicFrame>
      <xdr:nvGraphicFramePr>
        <xdr:cNvPr id="1" name="Chart 2"/>
        <xdr:cNvGraphicFramePr/>
      </xdr:nvGraphicFramePr>
      <xdr:xfrm>
        <a:off x="0" y="11810880"/>
        <a:ext cx="79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77</xdr:row>
      <xdr:rowOff>160560</xdr:rowOff>
    </xdr:from>
    <xdr:to>
      <xdr:col>4</xdr:col>
      <xdr:colOff>730080</xdr:colOff>
      <xdr:row>92</xdr:row>
      <xdr:rowOff>2880</xdr:rowOff>
    </xdr:to>
    <xdr:graphicFrame>
      <xdr:nvGraphicFramePr>
        <xdr:cNvPr id="2" name="Chart 3"/>
        <xdr:cNvGraphicFramePr/>
      </xdr:nvGraphicFramePr>
      <xdr:xfrm>
        <a:off x="0" y="14859000"/>
        <a:ext cx="791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93</xdr:row>
      <xdr:rowOff>160920</xdr:rowOff>
    </xdr:from>
    <xdr:to>
      <xdr:col>4</xdr:col>
      <xdr:colOff>730080</xdr:colOff>
      <xdr:row>108</xdr:row>
      <xdr:rowOff>2880</xdr:rowOff>
    </xdr:to>
    <xdr:graphicFrame>
      <xdr:nvGraphicFramePr>
        <xdr:cNvPr id="3" name="Chart 4"/>
        <xdr:cNvGraphicFramePr/>
      </xdr:nvGraphicFramePr>
      <xdr:xfrm>
        <a:off x="0" y="17907120"/>
        <a:ext cx="791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Relationship Id="rId28" Type="http://schemas.openxmlformats.org/officeDocument/2006/relationships/hyperlink" Target="final.xlsx" TargetMode="External"/><Relationship Id="rId29" Type="http://schemas.openxmlformats.org/officeDocument/2006/relationships/hyperlink" Target="final.xlsx" TargetMode="External"/><Relationship Id="rId30" Type="http://schemas.openxmlformats.org/officeDocument/2006/relationships/hyperlink" Target="final.xlsx" TargetMode="External"/><Relationship Id="rId31" Type="http://schemas.openxmlformats.org/officeDocument/2006/relationships/hyperlink" Target="final.xlsx" TargetMode="External"/><Relationship Id="rId32" Type="http://schemas.openxmlformats.org/officeDocument/2006/relationships/hyperlink" Target="final.xlsx" TargetMode="External"/><Relationship Id="rId33" Type="http://schemas.openxmlformats.org/officeDocument/2006/relationships/hyperlink" Target="final.xlsx" TargetMode="External"/><Relationship Id="rId34"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96"/>
    <col collapsed="false" customWidth="true" hidden="false" outlineLevel="0" max="5" min="4" style="0" width="12"/>
  </cols>
  <sheetData>
    <row r="2" customFormat="false" ht="24.45" hidden="false" customHeight="false" outlineLevel="0" collapsed="false">
      <c r="B2" s="1" t="str">
        <f aca="false">Assumptions!$C$6</f>
        <v>Turnoval Software S.L. (fictional demonstration company)</v>
      </c>
    </row>
    <row r="3" customFormat="false" ht="17.35" hidden="false" customHeight="false" outlineLevel="0" collapsed="false">
      <c r="B3" s="2" t="s">
        <v>0</v>
      </c>
    </row>
    <row r="4" customFormat="false" ht="15" hidden="false" customHeight="false" outlineLevel="0" collapsed="false">
      <c r="B4" s="3" t="s">
        <v>1</v>
      </c>
    </row>
    <row r="6" customFormat="false" ht="78" hidden="false" customHeight="true" outlineLevel="0" collapsed="false">
      <c r="B6" s="4" t="s">
        <v>2</v>
      </c>
      <c r="C6" s="4"/>
      <c r="D6" s="4"/>
      <c r="E6" s="4"/>
    </row>
    <row r="8" customFormat="false" ht="15" hidden="false" customHeight="false" outlineLevel="0" collapsed="false">
      <c r="B8" s="5" t="s">
        <v>3</v>
      </c>
      <c r="C8" s="6" t="n">
        <f aca="false">Assumptions!$C$9</f>
        <v>46265</v>
      </c>
    </row>
    <row r="9" customFormat="false" ht="15" hidden="false" customHeight="false" outlineLevel="0" collapsed="false">
      <c r="B9" s="5" t="s">
        <v>4</v>
      </c>
      <c r="C9" s="7" t="str">
        <f aca="false">"Sep-26 to Dec-27 ("&amp;Assumptions!$C$12&amp;" scenario selected)"</f>
        <v>Sep-26 to Dec-27 (Base scenario selected)</v>
      </c>
    </row>
    <row r="10" customFormat="false" ht="15" hidden="false" customHeight="false" outlineLevel="0" collapsed="false">
      <c r="B10" s="5" t="s">
        <v>5</v>
      </c>
      <c r="C10" s="8" t="s">
        <v>6</v>
      </c>
    </row>
    <row r="11" customFormat="false" ht="15" hidden="false" customHeight="false" outlineLevel="0" collapsed="false">
      <c r="B11" s="5" t="s">
        <v>7</v>
      </c>
      <c r="C11" s="7" t="str">
        <f aca="false">Checks!E60</f>
        <v>OK</v>
      </c>
    </row>
    <row r="12" customFormat="false" ht="15" hidden="false" customHeight="false" outlineLevel="0" collapsed="false">
      <c r="B12" s="5" t="s">
        <v>8</v>
      </c>
      <c r="C12" s="9" t="n">
        <f aca="false">INDEX(ARR_Bridge!$E$61:$AB$61,Assumptions!$C$10)</f>
        <v>6401680.32</v>
      </c>
    </row>
    <row r="13" customFormat="false" ht="15" hidden="false" customHeight="false" outlineLevel="0" collapsed="false">
      <c r="B13" s="5" t="s">
        <v>9</v>
      </c>
      <c r="C13" s="10" t="n">
        <f aca="false">INDEX(ARR_Bridge!$E$66:$AB$66,Assumptions!$C$10)</f>
        <v>0.92439209419095</v>
      </c>
    </row>
    <row r="14" customFormat="false" ht="15" hidden="false" customHeight="false" outlineLevel="0" collapsed="false">
      <c r="B14" s="5" t="s">
        <v>10</v>
      </c>
      <c r="C14" s="9" t="n">
        <f aca="false">PL!$C$14</f>
        <v>6425973.04162272</v>
      </c>
    </row>
    <row r="15" customFormat="false" ht="15" hidden="false" customHeight="false" outlineLevel="0" collapsed="false">
      <c r="B15" s="5" t="s">
        <v>11</v>
      </c>
      <c r="C15" s="9" t="n">
        <f aca="false">PL!$C$41</f>
        <v>-670368.382614836</v>
      </c>
    </row>
    <row r="16" customFormat="false" ht="15" hidden="false" customHeight="false" outlineLevel="0" collapsed="false">
      <c r="B16" s="5" t="s">
        <v>12</v>
      </c>
      <c r="C16" s="9" t="n">
        <f aca="false">INDEX(BS!$E$9:$AB$9,Assumptions!$C$10)</f>
        <v>4314216.6401</v>
      </c>
    </row>
    <row r="17" customFormat="false" ht="15" hidden="false" customHeight="false" outlineLevel="0" collapsed="false">
      <c r="B17" s="5" t="s">
        <v>13</v>
      </c>
      <c r="C17" s="9" t="n">
        <f aca="false">Cash_13W!C68</f>
        <v>3880281.11889628</v>
      </c>
    </row>
    <row r="18" customFormat="false" ht="23.85" hidden="false" customHeight="false" outlineLevel="0" collapsed="false">
      <c r="B18" s="5" t="s">
        <v>14</v>
      </c>
      <c r="C18" s="8" t="s">
        <v>15</v>
      </c>
    </row>
    <row r="20" customFormat="false" ht="15" hidden="false" customHeight="false" outlineLevel="0" collapsed="false">
      <c r="B20" s="11" t="s">
        <v>16</v>
      </c>
      <c r="C20" s="11" t="s">
        <v>17</v>
      </c>
      <c r="D20" s="11" t="s">
        <v>18</v>
      </c>
    </row>
    <row r="21" customFormat="false" ht="15" hidden="false" customHeight="false" outlineLevel="0" collapsed="false">
      <c r="B21" s="12" t="s">
        <v>19</v>
      </c>
      <c r="C21" s="13" t="s">
        <v>20</v>
      </c>
      <c r="D21" s="14" t="s">
        <v>21</v>
      </c>
    </row>
    <row r="22" customFormat="false" ht="15" hidden="false" customHeight="false" outlineLevel="0" collapsed="false">
      <c r="B22" s="12" t="s">
        <v>22</v>
      </c>
      <c r="C22" s="13" t="s">
        <v>23</v>
      </c>
      <c r="D22" s="14" t="s">
        <v>21</v>
      </c>
    </row>
    <row r="23" customFormat="false" ht="15" hidden="false" customHeight="false" outlineLevel="0" collapsed="false">
      <c r="B23" s="12" t="s">
        <v>24</v>
      </c>
      <c r="C23" s="13" t="s">
        <v>25</v>
      </c>
      <c r="D23" s="14" t="s">
        <v>26</v>
      </c>
    </row>
    <row r="24" customFormat="false" ht="15" hidden="false" customHeight="false" outlineLevel="0" collapsed="false">
      <c r="B24" s="12" t="s">
        <v>27</v>
      </c>
      <c r="C24" s="13" t="s">
        <v>28</v>
      </c>
      <c r="D24" s="14" t="s">
        <v>21</v>
      </c>
    </row>
    <row r="25" customFormat="false" ht="15" hidden="false" customHeight="false" outlineLevel="0" collapsed="false">
      <c r="B25" s="12" t="s">
        <v>29</v>
      </c>
      <c r="C25" s="13" t="s">
        <v>30</v>
      </c>
      <c r="D25" s="14" t="s">
        <v>21</v>
      </c>
    </row>
    <row r="26" customFormat="false" ht="15" hidden="false" customHeight="false" outlineLevel="0" collapsed="false">
      <c r="B26" s="12" t="s">
        <v>31</v>
      </c>
      <c r="C26" s="13" t="s">
        <v>32</v>
      </c>
      <c r="D26" s="14" t="s">
        <v>33</v>
      </c>
    </row>
    <row r="27" customFormat="false" ht="15" hidden="false" customHeight="false" outlineLevel="0" collapsed="false">
      <c r="B27" s="12" t="s">
        <v>34</v>
      </c>
      <c r="C27" s="13" t="s">
        <v>35</v>
      </c>
      <c r="D27" s="14" t="s">
        <v>33</v>
      </c>
    </row>
    <row r="28" customFormat="false" ht="15" hidden="false" customHeight="false" outlineLevel="0" collapsed="false">
      <c r="B28" s="12" t="s">
        <v>36</v>
      </c>
      <c r="C28" s="13" t="s">
        <v>37</v>
      </c>
      <c r="D28" s="14" t="s">
        <v>33</v>
      </c>
    </row>
    <row r="29" customFormat="false" ht="15" hidden="false" customHeight="false" outlineLevel="0" collapsed="false">
      <c r="B29" s="12" t="s">
        <v>38</v>
      </c>
      <c r="C29" s="13" t="s">
        <v>39</v>
      </c>
      <c r="D29" s="14" t="s">
        <v>40</v>
      </c>
    </row>
    <row r="30" customFormat="false" ht="15" hidden="false" customHeight="false" outlineLevel="0" collapsed="false">
      <c r="B30" s="12" t="s">
        <v>41</v>
      </c>
      <c r="C30" s="13" t="s">
        <v>42</v>
      </c>
      <c r="D30" s="14" t="s">
        <v>40</v>
      </c>
    </row>
    <row r="31" customFormat="false" ht="15" hidden="false" customHeight="false" outlineLevel="0" collapsed="false">
      <c r="B31" s="12" t="s">
        <v>43</v>
      </c>
      <c r="C31" s="13" t="s">
        <v>44</v>
      </c>
      <c r="D31" s="14" t="s">
        <v>40</v>
      </c>
    </row>
    <row r="32" customFormat="false" ht="15" hidden="false" customHeight="false" outlineLevel="0" collapsed="false">
      <c r="B32" s="12" t="s">
        <v>45</v>
      </c>
      <c r="C32" s="13" t="s">
        <v>46</v>
      </c>
      <c r="D32" s="14" t="s">
        <v>40</v>
      </c>
    </row>
    <row r="33" customFormat="false" ht="15" hidden="false" customHeight="false" outlineLevel="0" collapsed="false">
      <c r="B33" s="12" t="s">
        <v>47</v>
      </c>
      <c r="C33" s="13" t="s">
        <v>48</v>
      </c>
      <c r="D33" s="14" t="s">
        <v>40</v>
      </c>
    </row>
    <row r="34" customFormat="false" ht="15" hidden="false" customHeight="false" outlineLevel="0" collapsed="false">
      <c r="B34" s="12" t="s">
        <v>49</v>
      </c>
      <c r="C34" s="13" t="s">
        <v>50</v>
      </c>
      <c r="D34" s="14" t="s">
        <v>40</v>
      </c>
    </row>
    <row r="35" customFormat="false" ht="15" hidden="false" customHeight="false" outlineLevel="0" collapsed="false">
      <c r="B35" s="12" t="s">
        <v>51</v>
      </c>
      <c r="C35" s="13" t="s">
        <v>52</v>
      </c>
      <c r="D35" s="14" t="s">
        <v>53</v>
      </c>
    </row>
    <row r="36" customFormat="false" ht="15" hidden="false" customHeight="false" outlineLevel="0" collapsed="false">
      <c r="B36" s="12" t="s">
        <v>54</v>
      </c>
      <c r="C36" s="13" t="s">
        <v>55</v>
      </c>
      <c r="D36" s="14" t="s">
        <v>53</v>
      </c>
    </row>
    <row r="37" customFormat="false" ht="15" hidden="false" customHeight="false" outlineLevel="0" collapsed="false">
      <c r="B37" s="12" t="s">
        <v>56</v>
      </c>
      <c r="C37" s="13" t="s">
        <v>57</v>
      </c>
      <c r="D37" s="14" t="s">
        <v>53</v>
      </c>
    </row>
    <row r="38" customFormat="false" ht="15" hidden="false" customHeight="false" outlineLevel="0" collapsed="false">
      <c r="B38" s="12" t="s">
        <v>58</v>
      </c>
      <c r="C38" s="13" t="s">
        <v>59</v>
      </c>
      <c r="D38" s="14" t="s">
        <v>53</v>
      </c>
    </row>
    <row r="39" customFormat="false" ht="15" hidden="false" customHeight="false" outlineLevel="0" collapsed="false">
      <c r="B39" s="12" t="s">
        <v>60</v>
      </c>
      <c r="C39" s="13" t="s">
        <v>61</v>
      </c>
      <c r="D39" s="14" t="s">
        <v>53</v>
      </c>
    </row>
    <row r="40" customFormat="false" ht="15" hidden="false" customHeight="false" outlineLevel="0" collapsed="false">
      <c r="B40" s="12" t="s">
        <v>62</v>
      </c>
      <c r="C40" s="13" t="s">
        <v>63</v>
      </c>
      <c r="D40" s="14" t="s">
        <v>53</v>
      </c>
    </row>
    <row r="41" customFormat="false" ht="15" hidden="false" customHeight="false" outlineLevel="0" collapsed="false">
      <c r="B41" s="12" t="s">
        <v>64</v>
      </c>
      <c r="C41" s="13" t="s">
        <v>65</v>
      </c>
      <c r="D41" s="14" t="s">
        <v>53</v>
      </c>
    </row>
    <row r="42" customFormat="false" ht="15" hidden="false" customHeight="false" outlineLevel="0" collapsed="false">
      <c r="B42" s="12" t="s">
        <v>66</v>
      </c>
      <c r="C42" s="13" t="s">
        <v>67</v>
      </c>
      <c r="D42" s="14" t="s">
        <v>53</v>
      </c>
    </row>
    <row r="43" customFormat="false" ht="15" hidden="false" customHeight="false" outlineLevel="0" collapsed="false">
      <c r="B43" s="12" t="s">
        <v>68</v>
      </c>
      <c r="C43" s="13" t="s">
        <v>69</v>
      </c>
      <c r="D43" s="14" t="s">
        <v>53</v>
      </c>
    </row>
    <row r="44" customFormat="false" ht="15" hidden="false" customHeight="false" outlineLevel="0" collapsed="false">
      <c r="B44" s="12" t="s">
        <v>70</v>
      </c>
      <c r="C44" s="13" t="s">
        <v>71</v>
      </c>
      <c r="D44" s="14" t="s">
        <v>53</v>
      </c>
    </row>
    <row r="45" customFormat="false" ht="15" hidden="false" customHeight="false" outlineLevel="0" collapsed="false">
      <c r="B45" s="12" t="s">
        <v>72</v>
      </c>
      <c r="C45" s="13" t="s">
        <v>73</v>
      </c>
      <c r="D45" s="14" t="s">
        <v>53</v>
      </c>
    </row>
    <row r="46" customFormat="false" ht="15" hidden="false" customHeight="false" outlineLevel="0" collapsed="false">
      <c r="B46" s="12" t="s">
        <v>74</v>
      </c>
      <c r="C46" s="13" t="s">
        <v>75</v>
      </c>
      <c r="D46" s="14" t="s">
        <v>53</v>
      </c>
    </row>
    <row r="47" customFormat="false" ht="15" hidden="false" customHeight="false" outlineLevel="0" collapsed="false">
      <c r="B47" s="12" t="s">
        <v>76</v>
      </c>
      <c r="C47" s="13" t="s">
        <v>77</v>
      </c>
      <c r="D47" s="14" t="s">
        <v>53</v>
      </c>
    </row>
    <row r="48" customFormat="false" ht="15" hidden="false" customHeight="false" outlineLevel="0" collapsed="false">
      <c r="B48" s="12" t="s">
        <v>78</v>
      </c>
      <c r="C48" s="13" t="s">
        <v>79</v>
      </c>
      <c r="D48" s="14" t="s">
        <v>53</v>
      </c>
    </row>
    <row r="49" customFormat="false" ht="15" hidden="false" customHeight="false" outlineLevel="0" collapsed="false">
      <c r="B49" s="12" t="s">
        <v>80</v>
      </c>
      <c r="C49" s="13" t="s">
        <v>81</v>
      </c>
      <c r="D49" s="14" t="s">
        <v>53</v>
      </c>
    </row>
    <row r="50" customFormat="false" ht="15" hidden="false" customHeight="false" outlineLevel="0" collapsed="false">
      <c r="B50" s="12" t="s">
        <v>82</v>
      </c>
      <c r="C50" s="13" t="s">
        <v>83</v>
      </c>
      <c r="D50" s="14" t="s">
        <v>84</v>
      </c>
    </row>
    <row r="51" customFormat="false" ht="15" hidden="false" customHeight="false" outlineLevel="0" collapsed="false">
      <c r="B51" s="12" t="s">
        <v>85</v>
      </c>
      <c r="C51" s="13" t="s">
        <v>86</v>
      </c>
      <c r="D51" s="14" t="s">
        <v>84</v>
      </c>
    </row>
    <row r="52" customFormat="false" ht="15" hidden="false" customHeight="false" outlineLevel="0" collapsed="false">
      <c r="B52" s="12" t="s">
        <v>87</v>
      </c>
      <c r="C52" s="13" t="s">
        <v>88</v>
      </c>
      <c r="D52" s="14" t="s">
        <v>84</v>
      </c>
    </row>
    <row r="53" customFormat="false" ht="15" hidden="false" customHeight="false" outlineLevel="0" collapsed="false">
      <c r="B53" s="12" t="s">
        <v>89</v>
      </c>
      <c r="C53" s="13" t="s">
        <v>90</v>
      </c>
      <c r="D53" s="14" t="s">
        <v>84</v>
      </c>
    </row>
    <row r="54" customFormat="false" ht="15" hidden="false" customHeight="false" outlineLevel="0" collapsed="false">
      <c r="B54" s="12" t="s">
        <v>91</v>
      </c>
      <c r="C54" s="13" t="s">
        <v>92</v>
      </c>
      <c r="D54" s="14" t="s">
        <v>84</v>
      </c>
    </row>
    <row r="56" customFormat="false" ht="15" hidden="false" customHeight="false" outlineLevel="0" collapsed="false">
      <c r="B56" s="5" t="s">
        <v>93</v>
      </c>
    </row>
    <row r="57" customFormat="false" ht="15" hidden="false" customHeight="false" outlineLevel="0" collapsed="false">
      <c r="B57" s="15" t="s">
        <v>94</v>
      </c>
    </row>
    <row r="58" customFormat="false" ht="15" hidden="false" customHeight="false" outlineLevel="0" collapsed="false">
      <c r="B58" s="16" t="s">
        <v>95</v>
      </c>
    </row>
    <row r="59" customFormat="false" ht="15" hidden="false" customHeight="false" outlineLevel="0" collapsed="false">
      <c r="B59" s="17" t="s">
        <v>96</v>
      </c>
    </row>
    <row r="60" customFormat="false" ht="15" hidden="false" customHeight="false" outlineLevel="0" collapsed="false">
      <c r="B60" s="18" t="s">
        <v>97</v>
      </c>
    </row>
    <row r="61" customFormat="false" ht="15" hidden="false" customHeight="false" outlineLevel="0" collapsed="false">
      <c r="B61" s="19" t="s">
        <v>98</v>
      </c>
    </row>
  </sheetData>
  <mergeCells count="1">
    <mergeCell ref="B6:E6"/>
  </mergeCells>
  <hyperlinks>
    <hyperlink ref="B21" r:id="rId1" location="'Cover'!A1" display="Cover"/>
    <hyperlink ref="B22" r:id="rId2" location="'Guide'!A1" display="Guide"/>
    <hyperlink ref="B23" r:id="rId3" location="'Checks'!A1" display="Checks"/>
    <hyperlink ref="B24" r:id="rId4" location="'CFO_Report'!A1" display="CFO_Report"/>
    <hyperlink ref="B25" r:id="rId5" location="'KPIs'!A1" display="KPIs"/>
    <hyperlink ref="B26" r:id="rId6" location="'PL'!A1" display="PL"/>
    <hyperlink ref="B27" r:id="rId7" location="'BS'!A1" display="BS"/>
    <hyperlink ref="B28" r:id="rId8" location="'CF'!A1" display="CF"/>
    <hyperlink ref="B29" r:id="rId9" location="'BvA'!A1" display="BvA"/>
    <hyperlink ref="B30" r:id="rId10" location="'Scenarios'!A1" display="Scenarios"/>
    <hyperlink ref="B31" r:id="rId11" location="'Cash_13W'!A1" display="Cash_13W"/>
    <hyperlink ref="B32" r:id="rId12" location="'ARR_Bridge'!A1" display="ARR_Bridge"/>
    <hyperlink ref="B33" r:id="rId13" location="'Cohorts'!A1" display="Cohorts"/>
    <hyperlink ref="B34" r:id="rId14" location="'Unit_Economics'!A1" display="Unit_Economics"/>
    <hyperlink ref="B35" r:id="rId15" location="'Billings'!A1" display="Billings"/>
    <hyperlink ref="B36" r:id="rId16" location="'Subscriptions'!A1" display="Subscriptions"/>
    <hyperlink ref="B37" r:id="rId17" location="'Enterprise'!A1" display="Enterprise"/>
    <hyperlink ref="B38" r:id="rId18" location="'New_Business'!A1" display="New_Business"/>
    <hyperlink ref="B39" r:id="rId19" location="'People'!A1" display="People"/>
    <hyperlink ref="B40" r:id="rId20" location="'Capitalised_Costs'!A1" display="Capitalised_Costs"/>
    <hyperlink ref="B41" r:id="rId21" location="'Receivables'!A1" display="Receivables"/>
    <hyperlink ref="B42" r:id="rId22" location="'AR_Aging'!A1" display="AR_Aging"/>
    <hyperlink ref="B43" r:id="rId23" location="'AP_Aging'!A1" display="AP_Aging"/>
    <hyperlink ref="B44" r:id="rId24" location="'Payables'!A1" display="Payables"/>
    <hyperlink ref="B45" r:id="rId25" location="'VAT'!A1" display="VAT"/>
    <hyperlink ref="B46" r:id="rId26" location="'Tax'!A1" display="Tax"/>
    <hyperlink ref="B47" r:id="rId27" location="'Overheads'!A1" display="Overheads"/>
    <hyperlink ref="B48" r:id="rId28" location="'Fixed_Assets'!A1" display="Fixed_Assets"/>
    <hyperlink ref="B49" r:id="rId29" location="'Financing'!A1" display="Financing"/>
    <hyperlink ref="B50" r:id="rId30" location="'Account_Register'!A1" display="Account_Register"/>
    <hyperlink ref="B51" r:id="rId31" location="'Assumptions'!A1" display="Assumptions"/>
    <hyperlink ref="B52" r:id="rId32" location="'Inputs_Actuals'!A1" display="Inputs_Actuals"/>
    <hyperlink ref="B53" r:id="rId33" location="'History'!A1" display="History"/>
    <hyperlink ref="B54" r:id="rId34"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 collapsed="false" customWidth="true" hidden="false" outlineLevel="0" max="2" min="2" style="0" width="30"/>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99</v>
      </c>
    </row>
    <row r="4" customFormat="false" ht="15" hidden="false" customHeight="false" outlineLevel="0" collapsed="false">
      <c r="A4" s="22" t="s">
        <v>100</v>
      </c>
      <c r="B4" s="23"/>
    </row>
    <row r="5" customFormat="false" ht="90" hidden="false" customHeight="true" outlineLevel="0" collapsed="false">
      <c r="A5" s="24" t="s">
        <v>101</v>
      </c>
      <c r="B5" s="24"/>
    </row>
    <row r="6" customFormat="false" ht="45" hidden="false" customHeight="true" outlineLevel="0" collapsed="false">
      <c r="A6" s="24" t="s">
        <v>102</v>
      </c>
      <c r="B6" s="24"/>
    </row>
    <row r="8" customFormat="false" ht="15" hidden="false" customHeight="false" outlineLevel="0" collapsed="false">
      <c r="A8" s="22" t="s">
        <v>103</v>
      </c>
      <c r="B8" s="23"/>
    </row>
    <row r="9" customFormat="false" ht="75" hidden="false" customHeight="true" outlineLevel="0" collapsed="false">
      <c r="A9" s="24" t="s">
        <v>104</v>
      </c>
      <c r="B9" s="24"/>
    </row>
    <row r="10" customFormat="false" ht="75" hidden="false" customHeight="true" outlineLevel="0" collapsed="false">
      <c r="A10" s="24" t="s">
        <v>105</v>
      </c>
      <c r="B10" s="24"/>
    </row>
    <row r="11" customFormat="false" ht="60" hidden="false" customHeight="true" outlineLevel="0" collapsed="false">
      <c r="A11" s="24" t="s">
        <v>106</v>
      </c>
      <c r="B11" s="24"/>
    </row>
    <row r="12" customFormat="false" ht="30" hidden="false" customHeight="true" outlineLevel="0" collapsed="false">
      <c r="A12" s="24" t="s">
        <v>107</v>
      </c>
      <c r="B12" s="24"/>
    </row>
    <row r="14" customFormat="false" ht="15" hidden="false" customHeight="false" outlineLevel="0" collapsed="false">
      <c r="A14" s="22" t="s">
        <v>108</v>
      </c>
      <c r="B14" s="23"/>
    </row>
    <row r="15" customFormat="false" ht="60" hidden="false" customHeight="true" outlineLevel="0" collapsed="false">
      <c r="A15" s="24" t="s">
        <v>109</v>
      </c>
      <c r="B15" s="24"/>
    </row>
    <row r="16" customFormat="false" ht="30" hidden="false" customHeight="true" outlineLevel="0" collapsed="false">
      <c r="A16" s="24" t="s">
        <v>110</v>
      </c>
      <c r="B16" s="24"/>
    </row>
    <row r="17" customFormat="false" ht="45" hidden="false" customHeight="true" outlineLevel="0" collapsed="false">
      <c r="A17" s="24" t="s">
        <v>111</v>
      </c>
      <c r="B17" s="24"/>
    </row>
    <row r="18" customFormat="false" ht="60" hidden="false" customHeight="true" outlineLevel="0" collapsed="false">
      <c r="A18" s="24" t="s">
        <v>112</v>
      </c>
      <c r="B18" s="24"/>
    </row>
    <row r="20" customFormat="false" ht="15" hidden="false" customHeight="false" outlineLevel="0" collapsed="false">
      <c r="A20" s="22" t="s">
        <v>113</v>
      </c>
      <c r="B20" s="23"/>
    </row>
    <row r="21" customFormat="false" ht="30" hidden="false" customHeight="true" outlineLevel="0" collapsed="false">
      <c r="A21" s="24" t="s">
        <v>114</v>
      </c>
      <c r="B21" s="24"/>
    </row>
    <row r="22" customFormat="false" ht="45" hidden="false" customHeight="true" outlineLevel="0" collapsed="false">
      <c r="A22" s="24" t="s">
        <v>115</v>
      </c>
      <c r="B22" s="24"/>
    </row>
    <row r="23" customFormat="false" ht="60" hidden="false" customHeight="true" outlineLevel="0" collapsed="false">
      <c r="A23" s="24" t="s">
        <v>116</v>
      </c>
      <c r="B23" s="24"/>
    </row>
    <row r="24" customFormat="false" ht="30" hidden="false" customHeight="true" outlineLevel="0" collapsed="false">
      <c r="A24" s="24" t="s">
        <v>117</v>
      </c>
      <c r="B24" s="24"/>
    </row>
    <row r="26" customFormat="false" ht="15" hidden="false" customHeight="false" outlineLevel="0" collapsed="false">
      <c r="A26" s="22" t="s">
        <v>118</v>
      </c>
      <c r="B26" s="23"/>
    </row>
    <row r="27" customFormat="false" ht="75" hidden="false" customHeight="true" outlineLevel="0" collapsed="false">
      <c r="A27" s="24" t="s">
        <v>119</v>
      </c>
      <c r="B27" s="24"/>
    </row>
    <row r="28" customFormat="false" ht="60" hidden="false" customHeight="true" outlineLevel="0" collapsed="false">
      <c r="A28" s="24" t="s">
        <v>120</v>
      </c>
      <c r="B28" s="24"/>
    </row>
    <row r="29" customFormat="false" ht="60" hidden="false" customHeight="true" outlineLevel="0" collapsed="false">
      <c r="A29" s="24" t="s">
        <v>121</v>
      </c>
      <c r="B29" s="24"/>
    </row>
    <row r="30" customFormat="false" ht="105" hidden="false" customHeight="true" outlineLevel="0" collapsed="false">
      <c r="A30" s="24" t="s">
        <v>122</v>
      </c>
      <c r="B30" s="24"/>
    </row>
    <row r="31" customFormat="false" ht="45" hidden="false" customHeight="true" outlineLevel="0" collapsed="false">
      <c r="A31" s="24" t="s">
        <v>123</v>
      </c>
      <c r="B31" s="24"/>
    </row>
    <row r="33" customFormat="false" ht="15" hidden="false" customHeight="false" outlineLevel="0" collapsed="false">
      <c r="A33" s="22" t="s">
        <v>124</v>
      </c>
      <c r="B33" s="23"/>
    </row>
    <row r="34" customFormat="false" ht="30" hidden="false" customHeight="true" outlineLevel="0" collapsed="false">
      <c r="A34" s="24" t="s">
        <v>125</v>
      </c>
      <c r="B34" s="24"/>
    </row>
    <row r="35" customFormat="false" ht="30" hidden="false" customHeight="true" outlineLevel="0" collapsed="false">
      <c r="A35" s="24" t="s">
        <v>126</v>
      </c>
      <c r="B35" s="24"/>
    </row>
    <row r="36" customFormat="false" ht="30" hidden="false" customHeight="true" outlineLevel="0" collapsed="false">
      <c r="A36" s="24" t="s">
        <v>127</v>
      </c>
      <c r="B36" s="24"/>
    </row>
    <row r="37" customFormat="false" ht="30" hidden="false" customHeight="true" outlineLevel="0" collapsed="false">
      <c r="A37" s="24" t="s">
        <v>128</v>
      </c>
      <c r="B37" s="24"/>
    </row>
    <row r="39" customFormat="false" ht="15" hidden="false" customHeight="false" outlineLevel="0" collapsed="false">
      <c r="A39" s="22" t="s">
        <v>129</v>
      </c>
      <c r="B39" s="23"/>
    </row>
    <row r="40" customFormat="false" ht="60" hidden="false" customHeight="true" outlineLevel="0" collapsed="false">
      <c r="A40" s="24" t="s">
        <v>130</v>
      </c>
      <c r="B40" s="24"/>
    </row>
    <row r="41" customFormat="false" ht="30" hidden="false" customHeight="true" outlineLevel="0" collapsed="false">
      <c r="A41" s="24" t="s">
        <v>131</v>
      </c>
      <c r="B41" s="24"/>
    </row>
    <row r="42" customFormat="false" ht="15" hidden="false" customHeight="true" outlineLevel="0" collapsed="false">
      <c r="A42" s="24" t="s">
        <v>132</v>
      </c>
      <c r="B42" s="24"/>
    </row>
    <row r="43" customFormat="false" ht="30" hidden="false" customHeight="true" outlineLevel="0" collapsed="false">
      <c r="A43" s="24" t="s">
        <v>133</v>
      </c>
      <c r="B43" s="24"/>
    </row>
    <row r="44" customFormat="false" ht="30" hidden="false" customHeight="true" outlineLevel="0" collapsed="false">
      <c r="A44" s="24" t="s">
        <v>134</v>
      </c>
      <c r="B44" s="24"/>
    </row>
    <row r="46" customFormat="false" ht="15" hidden="false" customHeight="false" outlineLevel="0" collapsed="false">
      <c r="A46" s="22" t="s">
        <v>135</v>
      </c>
      <c r="B46" s="23"/>
    </row>
    <row r="47" customFormat="false" ht="45" hidden="false" customHeight="true" outlineLevel="0" collapsed="false">
      <c r="A47" s="24" t="s">
        <v>136</v>
      </c>
      <c r="B47" s="24"/>
    </row>
    <row r="49" customFormat="false" ht="15" hidden="false" customHeight="false" outlineLevel="0" collapsed="false">
      <c r="A49" s="22" t="s">
        <v>137</v>
      </c>
      <c r="B49" s="23"/>
    </row>
    <row r="50" customFormat="false" ht="30" hidden="false" customHeight="true" outlineLevel="0" collapsed="false">
      <c r="A50" s="24" t="s">
        <v>138</v>
      </c>
      <c r="B50" s="24"/>
    </row>
    <row r="51" customFormat="false" ht="45" hidden="false" customHeight="true" outlineLevel="0" collapsed="false">
      <c r="A51" s="24" t="s">
        <v>139</v>
      </c>
      <c r="B51" s="24"/>
    </row>
    <row r="52" customFormat="false" ht="30" hidden="false" customHeight="true" outlineLevel="0" collapsed="false">
      <c r="A52" s="24" t="s">
        <v>140</v>
      </c>
      <c r="B52" s="24"/>
    </row>
    <row r="53" customFormat="false" ht="30" hidden="false" customHeight="true" outlineLevel="0" collapsed="false">
      <c r="A53" s="24" t="s">
        <v>141</v>
      </c>
      <c r="B53" s="24"/>
    </row>
    <row r="55" customFormat="false" ht="15" hidden="false" customHeight="false" outlineLevel="0" collapsed="false">
      <c r="A55" s="22" t="s">
        <v>142</v>
      </c>
      <c r="B55" s="23"/>
    </row>
    <row r="56" customFormat="false" ht="30" hidden="false" customHeight="true" outlineLevel="0" collapsed="false">
      <c r="A56" s="24" t="s">
        <v>143</v>
      </c>
      <c r="B56" s="24"/>
    </row>
    <row r="57" customFormat="false" ht="30" hidden="false" customHeight="true" outlineLevel="0" collapsed="false">
      <c r="A57" s="24" t="s">
        <v>144</v>
      </c>
      <c r="B57" s="24"/>
    </row>
    <row r="58" customFormat="false" ht="30" hidden="false" customHeight="true" outlineLevel="0" collapsed="false">
      <c r="A58" s="24" t="s">
        <v>145</v>
      </c>
      <c r="B58" s="24"/>
    </row>
    <row r="59" customFormat="false" ht="30" hidden="false" customHeight="true" outlineLevel="0" collapsed="false">
      <c r="A59" s="24" t="s">
        <v>146</v>
      </c>
      <c r="B59" s="24"/>
    </row>
    <row r="60" customFormat="false" ht="30" hidden="false" customHeight="true" outlineLevel="0" collapsed="false">
      <c r="A60" s="24" t="s">
        <v>147</v>
      </c>
      <c r="B60" s="24"/>
    </row>
  </sheetData>
  <mergeCells count="38">
    <mergeCell ref="A5:B5"/>
    <mergeCell ref="A6:B6"/>
    <mergeCell ref="A9:B9"/>
    <mergeCell ref="A10:B10"/>
    <mergeCell ref="A11:B11"/>
    <mergeCell ref="A12:B12"/>
    <mergeCell ref="A15:B15"/>
    <mergeCell ref="A16:B16"/>
    <mergeCell ref="A17:B17"/>
    <mergeCell ref="A18:B18"/>
    <mergeCell ref="A21:B21"/>
    <mergeCell ref="A22:B22"/>
    <mergeCell ref="A23:B23"/>
    <mergeCell ref="A24:B24"/>
    <mergeCell ref="A27:B27"/>
    <mergeCell ref="A28:B28"/>
    <mergeCell ref="A29:B29"/>
    <mergeCell ref="A30:B30"/>
    <mergeCell ref="A31:B31"/>
    <mergeCell ref="A34:B34"/>
    <mergeCell ref="A35:B35"/>
    <mergeCell ref="A36:B36"/>
    <mergeCell ref="A37:B37"/>
    <mergeCell ref="A40:B40"/>
    <mergeCell ref="A41:B41"/>
    <mergeCell ref="A42:B42"/>
    <mergeCell ref="A43:B43"/>
    <mergeCell ref="A44:B44"/>
    <mergeCell ref="A47:B47"/>
    <mergeCell ref="A50:B50"/>
    <mergeCell ref="A51:B51"/>
    <mergeCell ref="A52:B52"/>
    <mergeCell ref="A53:B53"/>
    <mergeCell ref="A56:B56"/>
    <mergeCell ref="A57:B57"/>
    <mergeCell ref="A58:B58"/>
    <mergeCell ref="A59:B59"/>
    <mergeCell ref="A60:B6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70"/>
    <col collapsed="false" customWidth="true" hidden="false" outlineLevel="0" max="3" min="3" style="0" width="16"/>
    <col collapsed="false" customWidth="true" hidden="false" outlineLevel="0" max="5" min="4" style="0" width="10"/>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148</v>
      </c>
    </row>
    <row r="3" customFormat="false" ht="15" hidden="false" customHeight="false" outlineLevel="0" collapsed="false">
      <c r="A3" s="25" t="s">
        <v>149</v>
      </c>
    </row>
    <row r="5" customFormat="false" ht="15" hidden="false" customHeight="false" outlineLevel="0" collapsed="false">
      <c r="A5" s="26" t="s">
        <v>150</v>
      </c>
      <c r="B5" s="27" t="s">
        <v>151</v>
      </c>
      <c r="C5" s="27" t="s">
        <v>152</v>
      </c>
      <c r="D5" s="27" t="s">
        <v>153</v>
      </c>
      <c r="E5" s="27" t="s">
        <v>154</v>
      </c>
    </row>
    <row r="6" customFormat="false" ht="15" hidden="false" customHeight="false" outlineLevel="0" collapsed="false">
      <c r="A6" s="22" t="s">
        <v>155</v>
      </c>
      <c r="B6" s="23"/>
      <c r="C6" s="23"/>
      <c r="D6" s="23"/>
      <c r="E6" s="23"/>
    </row>
    <row r="7" customFormat="false" ht="15" hidden="false" customHeight="false" outlineLevel="0" collapsed="false">
      <c r="A7" s="28" t="s">
        <v>156</v>
      </c>
      <c r="B7" s="14" t="s">
        <v>157</v>
      </c>
      <c r="C7" s="29" t="n">
        <f aca="false">SUMPRODUCT(ABS(BS!$E$41:$AB$41))</f>
        <v>0</v>
      </c>
      <c r="D7" s="30" t="n">
        <v>0.5</v>
      </c>
      <c r="E7" s="31" t="str">
        <f aca="false">IF(ABS(C7)&lt;=D7,"OK","CHECK")</f>
        <v>OK</v>
      </c>
    </row>
    <row r="8" customFormat="false" ht="15" hidden="false" customHeight="false" outlineLevel="0" collapsed="false">
      <c r="A8" s="28" t="s">
        <v>158</v>
      </c>
      <c r="B8" s="14" t="s">
        <v>159</v>
      </c>
      <c r="C8" s="29" t="n">
        <f aca="false">SUMPRODUCT(ABS(CF!$E$58:$AB$58))</f>
        <v>0</v>
      </c>
      <c r="D8" s="30" t="n">
        <v>0.5</v>
      </c>
      <c r="E8" s="31" t="str">
        <f aca="false">IF(ABS(C8)&lt;=D8,"OK","CHECK")</f>
        <v>OK</v>
      </c>
    </row>
    <row r="9" customFormat="false" ht="15" hidden="false" customHeight="false" outlineLevel="0" collapsed="false">
      <c r="A9" s="28" t="s">
        <v>160</v>
      </c>
      <c r="B9" s="14" t="s">
        <v>161</v>
      </c>
      <c r="C9" s="29" t="n">
        <f aca="false">SUMPRODUCT(ABS(CF!$E$38:$AB$38-BS!$E$9:$AB$9))</f>
        <v>0</v>
      </c>
      <c r="D9" s="30" t="n">
        <v>0.5</v>
      </c>
      <c r="E9" s="31" t="str">
        <f aca="false">IF(ABS(C9)&lt;=D9,"OK","CHECK")</f>
        <v>OK</v>
      </c>
    </row>
    <row r="10" customFormat="false" ht="15" hidden="false" customHeight="false" outlineLevel="0" collapsed="false">
      <c r="A10" s="28" t="s">
        <v>162</v>
      </c>
      <c r="B10" s="14" t="s">
        <v>163</v>
      </c>
      <c r="C10" s="29" t="n">
        <f aca="false">BS!AB38-(Inputs_Actuals!$C$342+SUM(BS!$E$37:$AB$37))</f>
        <v>0</v>
      </c>
      <c r="D10" s="30" t="n">
        <v>0.5</v>
      </c>
      <c r="E10" s="31" t="str">
        <f aca="false">IF(ABS(C10)&lt;=D10,"OK","CHECK")</f>
        <v>OK</v>
      </c>
    </row>
    <row r="11" customFormat="false" ht="15" hidden="false" customHeight="false" outlineLevel="0" collapsed="false">
      <c r="A11" s="28" t="s">
        <v>164</v>
      </c>
      <c r="B11" s="14" t="s">
        <v>165</v>
      </c>
      <c r="C11" s="29" t="n">
        <f aca="false">SUMPRODUCT(ABS(CF!$E$14:$AB$14-PL!$E$41:$AB$41))</f>
        <v>0</v>
      </c>
      <c r="D11" s="30" t="n">
        <v>0.5</v>
      </c>
      <c r="E11" s="31" t="str">
        <f aca="false">IF(ABS(C11)&lt;=D11,"OK","CHECK")</f>
        <v>OK</v>
      </c>
    </row>
    <row r="12" customFormat="false" ht="15" hidden="false" customHeight="false" outlineLevel="0" collapsed="false">
      <c r="A12" s="28" t="s">
        <v>166</v>
      </c>
      <c r="B12" s="14" t="s">
        <v>167</v>
      </c>
      <c r="C12" s="29" t="n">
        <f aca="false">ROUND((Inputs_Actuals!$C$317+Inputs_Actuals!$C$318+Inputs_Actuals!$C$319-Inputs_Actuals!$C$320+Inputs_Actuals!$C$327+Inputs_Actuals!$C$321+Inputs_Actuals!$C$322+Inputs_Actuals!$C$323-Inputs_Actuals!$C$324+Inputs_Actuals!$C$325-Inputs_Actuals!$C$326)-(Inputs_Actuals!$C$328+Inputs_Actuals!$C$329+Inputs_Actuals!$C$330+Inputs_Actuals!$C$331+Inputs_Actuals!$C$332+Inputs_Actuals!$C$333+Inputs_Actuals!$C$334+Inputs_Actuals!$C$335+Inputs_Actuals!$C$336+Inputs_Actuals!$C$337+Inputs_Actuals!$C$338+Inputs_Actuals!$C$339)-Inputs_Actuals!$C$340-Inputs_Actuals!$C$341-Inputs_Actuals!$C$342,2)</f>
        <v>0</v>
      </c>
      <c r="D12" s="30" t="n">
        <v>0.5</v>
      </c>
      <c r="E12" s="31" t="str">
        <f aca="false">IF(ABS(C12)&lt;=D12,"OK","CHECK")</f>
        <v>OK</v>
      </c>
    </row>
    <row r="13" customFormat="false" ht="15" hidden="false" customHeight="false" outlineLevel="0" collapsed="false">
      <c r="A13" s="22" t="s">
        <v>168</v>
      </c>
      <c r="B13" s="23"/>
      <c r="C13" s="23"/>
      <c r="D13" s="23"/>
      <c r="E13" s="23"/>
    </row>
    <row r="14" customFormat="false" ht="15" hidden="false" customHeight="false" outlineLevel="0" collapsed="false">
      <c r="A14" s="28" t="s">
        <v>169</v>
      </c>
      <c r="B14" s="14" t="s">
        <v>170</v>
      </c>
      <c r="C14" s="29" t="n">
        <f aca="false">SUMPRODUCT(ABS(Subscriptions!$E$118:$AB$118))</f>
        <v>0</v>
      </c>
      <c r="D14" s="30" t="n">
        <v>0.5</v>
      </c>
      <c r="E14" s="31" t="str">
        <f aca="false">IF(ABS(C14)&lt;=D14,"OK","CHECK")</f>
        <v>OK</v>
      </c>
    </row>
    <row r="15" customFormat="false" ht="15" hidden="false" customHeight="false" outlineLevel="0" collapsed="false">
      <c r="A15" s="28" t="s">
        <v>171</v>
      </c>
      <c r="B15" s="14"/>
      <c r="C15" s="32" t="n">
        <f aca="false">SUMPRODUCT(ABS(Subscriptions!$E$121:$AB$121))</f>
        <v>0</v>
      </c>
      <c r="D15" s="30" t="n">
        <v>0.001</v>
      </c>
      <c r="E15" s="31" t="str">
        <f aca="false">IF(ABS(C15)&lt;=D15,"OK","CHECK")</f>
        <v>OK</v>
      </c>
    </row>
    <row r="16" customFormat="false" ht="15" hidden="false" customHeight="false" outlineLevel="0" collapsed="false">
      <c r="A16" s="28" t="s">
        <v>172</v>
      </c>
      <c r="B16" s="14" t="s">
        <v>173</v>
      </c>
      <c r="C16" s="29" t="n">
        <f aca="false">SUMPRODUCT(ABS(Subscriptions!$E$254:$AB$254))</f>
        <v>0</v>
      </c>
      <c r="D16" s="30" t="n">
        <v>0.5</v>
      </c>
      <c r="E16" s="31" t="str">
        <f aca="false">IF(ABS(C16)&lt;=D16,"OK","CHECK")</f>
        <v>OK</v>
      </c>
    </row>
    <row r="17" customFormat="false" ht="15" hidden="false" customHeight="false" outlineLevel="0" collapsed="false">
      <c r="A17" s="28" t="s">
        <v>174</v>
      </c>
      <c r="B17" s="14"/>
      <c r="C17" s="32" t="n">
        <f aca="false">SUMPRODUCT(ABS(Subscriptions!$E$257:$AB$257))</f>
        <v>0</v>
      </c>
      <c r="D17" s="30" t="n">
        <v>0.001</v>
      </c>
      <c r="E17" s="31" t="str">
        <f aca="false">IF(ABS(C17)&lt;=D17,"OK","CHECK")</f>
        <v>OK</v>
      </c>
    </row>
    <row r="18" customFormat="false" ht="15" hidden="false" customHeight="false" outlineLevel="0" collapsed="false">
      <c r="A18" s="28" t="s">
        <v>175</v>
      </c>
      <c r="B18" s="14" t="s">
        <v>176</v>
      </c>
      <c r="C18" s="29" t="n">
        <f aca="false">SUMPRODUCT(ABS(Enterprise!$E$112:$AB$112))</f>
        <v>0</v>
      </c>
      <c r="D18" s="30" t="n">
        <v>0.5</v>
      </c>
      <c r="E18" s="31" t="str">
        <f aca="false">IF(ABS(C18)&lt;=D18,"OK","CHECK")</f>
        <v>OK</v>
      </c>
    </row>
    <row r="19" customFormat="false" ht="15" hidden="false" customHeight="false" outlineLevel="0" collapsed="false">
      <c r="A19" s="28" t="s">
        <v>177</v>
      </c>
      <c r="B19" s="14"/>
      <c r="C19" s="32" t="n">
        <f aca="false">SUMPRODUCT(ABS(Enterprise!$E$115:$AB$115))</f>
        <v>0</v>
      </c>
      <c r="D19" s="30" t="n">
        <v>0.001</v>
      </c>
      <c r="E19" s="31" t="str">
        <f aca="false">IF(ABS(C19)&lt;=D19,"OK","CHECK")</f>
        <v>OK</v>
      </c>
    </row>
    <row r="20" customFormat="false" ht="15" hidden="false" customHeight="false" outlineLevel="0" collapsed="false">
      <c r="A20" s="28" t="s">
        <v>178</v>
      </c>
      <c r="B20" s="14" t="s">
        <v>179</v>
      </c>
      <c r="C20" s="29" t="n">
        <f aca="false">SUMPRODUCT(ABS(PL!$E$12:$AB$12-ARR_Bridge!$E$60:$AB$60))</f>
        <v>0</v>
      </c>
      <c r="D20" s="30" t="n">
        <v>0.5</v>
      </c>
      <c r="E20" s="31" t="str">
        <f aca="false">IF(ABS(C20)&lt;=D20,"OK","CHECK")</f>
        <v>OK</v>
      </c>
    </row>
    <row r="21" customFormat="false" ht="15" hidden="false" customHeight="false" outlineLevel="0" collapsed="false">
      <c r="A21" s="28" t="s">
        <v>180</v>
      </c>
      <c r="B21" s="14" t="s">
        <v>181</v>
      </c>
      <c r="C21" s="29" t="n">
        <f aca="false">SUMPRODUCT(ABS(Billings!$E$28:$AB$28))</f>
        <v>0</v>
      </c>
      <c r="D21" s="30" t="n">
        <v>0.5</v>
      </c>
      <c r="E21" s="31" t="str">
        <f aca="false">IF(ABS(C21)&lt;=D21,"OK","CHECK")</f>
        <v>OK</v>
      </c>
    </row>
    <row r="22" customFormat="false" ht="15" hidden="false" customHeight="false" outlineLevel="0" collapsed="false">
      <c r="A22" s="28" t="s">
        <v>182</v>
      </c>
      <c r="B22" s="14" t="s">
        <v>183</v>
      </c>
      <c r="C22" s="29" t="n">
        <f aca="false">ROUND(Inputs_Actuals!$C$331-(History!$E$73*0+History!$E$74*1+History!$E$75*2+History!$E$76*3+History!$E$77*4+History!$E$78*5+History!$E$79*6+History!$E$80*7+History!$E$81*8+History!$E$82*9+History!$E$83*10+History!$E$84*11+History!$E$85*0+History!$E$86*1+History!$E$87*2+History!$E$88*3+History!$E$89*4+History!$E$90*5+History!$E$91*6+History!$E$92*7+History!$E$93*8+History!$E$94*9+History!$E$95*10+History!$E$96*11+History!$E$97*0+History!$E$98*1+History!$E$99*2+History!$E$100*3+History!$E$101*4+History!$E$102*5+History!$E$103*6+History!$E$104*7+History!$E$105*8+History!$E$106*9+History!$E$107*10+History!$E$108*11+Account_Register!$H$7*0+Account_Register!$H$8*2+Account_Register!$H$9*5+Account_Register!$H$10*9+Account_Register!$H$11*1+Account_Register!$H$12*4+Account_Register!$H$13*8+Account_Register!$H$14*10+Account_Register!$H$15*0+Account_Register!$H$16*2+Account_Register!$H$17*3+Account_Register!$H$18*5+Account_Register!$H$19*8+Account_Register!$H$20*10+Account_Register!$H$21*0+Account_Register!$H$22*2+Account_Register!$H$23*4+Account_Register!$H$24*6+Account_Register!$H$25*8+Account_Register!$H$26*10),0)</f>
        <v>0</v>
      </c>
      <c r="D22" s="30" t="n">
        <v>0.5</v>
      </c>
      <c r="E22" s="31" t="str">
        <f aca="false">IF(ABS(C22)&lt;=D22,"OK","CHECK")</f>
        <v>OK</v>
      </c>
    </row>
    <row r="23" customFormat="false" ht="15" hidden="false" customHeight="false" outlineLevel="0" collapsed="false">
      <c r="A23" s="28" t="s">
        <v>184</v>
      </c>
      <c r="B23" s="14" t="s">
        <v>185</v>
      </c>
      <c r="C23" s="29" t="n">
        <f aca="false">SUMPRODUCT(ABS(Billings!$E$32:$AB$32))</f>
        <v>0</v>
      </c>
      <c r="D23" s="30" t="n">
        <v>0.5</v>
      </c>
      <c r="E23" s="31" t="str">
        <f aca="false">IF(ABS(C23)&lt;=D23,"OK","CHECK")</f>
        <v>OK</v>
      </c>
    </row>
    <row r="24" customFormat="false" ht="15" hidden="false" customHeight="false" outlineLevel="0" collapsed="false">
      <c r="A24" s="28" t="s">
        <v>186</v>
      </c>
      <c r="B24" s="14"/>
      <c r="C24" s="29" t="n">
        <f aca="false">ROUND(Inputs_Actuals!$C$332-((History!$D$28+History!$D$40)*1/12+(History!$E$28+History!$E$40)*2/12+(History!$F$28+History!$F$40)*3/12+(History!$G$28+History!$G$40)*4/12+(History!$H$28+History!$H$40)*5/12+(History!$I$28+History!$I$40)*6/12+(History!$J$28+History!$J$40)*7/12+(History!$K$28+History!$K$40)*8/12+(History!$L$28+History!$L$40)*9/12+(History!$M$28+History!$M$40)*10/12+(History!$N$28+History!$N$40)*11/12),0)</f>
        <v>-0</v>
      </c>
      <c r="D24" s="30" t="n">
        <v>0.5</v>
      </c>
      <c r="E24" s="31" t="str">
        <f aca="false">IF(ABS(C24)&lt;=D24,"OK","CHECK")</f>
        <v>OK</v>
      </c>
    </row>
    <row r="25" customFormat="false" ht="15" hidden="false" customHeight="false" outlineLevel="0" collapsed="false">
      <c r="A25" s="28" t="s">
        <v>187</v>
      </c>
      <c r="B25" s="14" t="s">
        <v>188</v>
      </c>
      <c r="C25" s="32" t="n">
        <f aca="false">SUMPRODUCT(ABS(Cohorts!K26:R26))+SUMPRODUCT(ABS(Cohorts!K71:R71))</f>
        <v>0</v>
      </c>
      <c r="D25" s="30" t="n">
        <v>0.01</v>
      </c>
      <c r="E25" s="31" t="str">
        <f aca="false">IF(ABS(C25)&lt;=D25,"OK","CHECK")</f>
        <v>OK</v>
      </c>
    </row>
    <row r="26" customFormat="false" ht="15" hidden="false" customHeight="false" outlineLevel="0" collapsed="false">
      <c r="A26" s="28" t="s">
        <v>189</v>
      </c>
      <c r="B26" s="14" t="s">
        <v>190</v>
      </c>
      <c r="C26" s="29" t="n">
        <f aca="false">ROUND(ABS(History!G131-(History!$E$13+History!$E$24+History!$E$36))+ABS(History!H131-(History!$H$13+History!$H$24+History!$H$36))+ABS(History!I131-(History!$K$13+History!$K$24+History!$K$36))+ABS(History!J131-(History!$N$13+History!$N$24+History!$N$36)),0)</f>
        <v>0</v>
      </c>
      <c r="D26" s="30" t="n">
        <v>0.5</v>
      </c>
      <c r="E26" s="31" t="str">
        <f aca="false">IF(ABS(C26)&lt;=D26,"OK","CHECK")</f>
        <v>OK</v>
      </c>
    </row>
    <row r="27" customFormat="false" ht="15" hidden="false" customHeight="false" outlineLevel="0" collapsed="false">
      <c r="A27" s="22" t="s">
        <v>191</v>
      </c>
      <c r="B27" s="23"/>
      <c r="C27" s="23"/>
      <c r="D27" s="23"/>
      <c r="E27" s="23"/>
    </row>
    <row r="28" customFormat="false" ht="15" hidden="false" customHeight="false" outlineLevel="0" collapsed="false">
      <c r="A28" s="28" t="s">
        <v>192</v>
      </c>
      <c r="B28" s="14" t="s">
        <v>193</v>
      </c>
      <c r="C28" s="29" t="n">
        <f aca="false">ROUND(SUMPRODUCT(ABS(People!$E$208:$AB$208-People!$E$123:$AB$123-People!$E$133:$AB$133-People!$E$143:$AB$143-People!$E$153:$AB$153-People!$E$163:$AB$163-People!$E$173:$AB$173-People!$E$183:$AB$183-People!$E$193:$AB$193-People!$E$213:$AB$213)),0)</f>
        <v>0</v>
      </c>
      <c r="D28" s="30" t="n">
        <v>0.5</v>
      </c>
      <c r="E28" s="31" t="str">
        <f aca="false">IF(ABS(C28)&lt;=D28,"OK","CHECK")</f>
        <v>OK</v>
      </c>
    </row>
    <row r="29" customFormat="false" ht="15" hidden="false" customHeight="false" outlineLevel="0" collapsed="false">
      <c r="A29" s="28" t="s">
        <v>194</v>
      </c>
      <c r="B29" s="14" t="s">
        <v>195</v>
      </c>
      <c r="C29" s="29" t="n">
        <f aca="false">ROUND(ABS(People!J215)+ABS(People!P215)+ABS(People!V215)+ABS(People!AB215),0)</f>
        <v>0</v>
      </c>
      <c r="D29" s="30" t="n">
        <v>0.5</v>
      </c>
      <c r="E29" s="31" t="str">
        <f aca="false">IF(ABS(C29)&lt;=D29,"OK","CHECK")</f>
        <v>OK</v>
      </c>
    </row>
    <row r="30" customFormat="false" ht="15" hidden="false" customHeight="false" outlineLevel="0" collapsed="false">
      <c r="A30" s="28" t="s">
        <v>196</v>
      </c>
      <c r="B30" s="14" t="s">
        <v>197</v>
      </c>
      <c r="C30" s="29" t="n">
        <f aca="false">ROUND(SUMPRODUCT(ABS(People!$E$212:$AB$212-People!$E$210:$AB$210)*(Assumptions!$E$190:$AB$190="F")),0)</f>
        <v>0</v>
      </c>
      <c r="D30" s="30" t="n">
        <v>0.5</v>
      </c>
      <c r="E30" s="31" t="str">
        <f aca="false">IF(ABS(C30)&lt;=D30,"OK","CHECK")</f>
        <v>OK</v>
      </c>
    </row>
    <row r="31" customFormat="false" ht="15" hidden="false" customHeight="false" outlineLevel="0" collapsed="false">
      <c r="A31" s="28" t="s">
        <v>198</v>
      </c>
      <c r="B31" s="14" t="s">
        <v>199</v>
      </c>
      <c r="C31" s="29" t="n">
        <f aca="false">ROUND(SUMPRODUCT(ABS(People!$E$206:$AB$206-People!$E$200:$AB$200)),0)</f>
        <v>0</v>
      </c>
      <c r="D31" s="30" t="n">
        <v>0.5</v>
      </c>
      <c r="E31" s="31" t="str">
        <f aca="false">IF(ABS(C31)&lt;=D31,"OK","CHECK")</f>
        <v>OK</v>
      </c>
    </row>
    <row r="32" customFormat="false" ht="15" hidden="false" customHeight="false" outlineLevel="0" collapsed="false">
      <c r="A32" s="22" t="s">
        <v>200</v>
      </c>
      <c r="B32" s="23"/>
      <c r="C32" s="23"/>
      <c r="D32" s="23"/>
      <c r="E32" s="23"/>
    </row>
    <row r="33" customFormat="false" ht="15" hidden="false" customHeight="false" outlineLevel="0" collapsed="false">
      <c r="A33" s="28" t="s">
        <v>201</v>
      </c>
      <c r="B33" s="14" t="s">
        <v>202</v>
      </c>
      <c r="C33" s="29" t="n">
        <f aca="false">SUMPRODUCT(ABS(VAT!$E$17:$AB$17))</f>
        <v>0</v>
      </c>
      <c r="D33" s="30" t="n">
        <v>0.5</v>
      </c>
      <c r="E33" s="31" t="str">
        <f aca="false">IF(ABS(C33)&lt;=D33,"OK","CHECK")</f>
        <v>OK</v>
      </c>
    </row>
    <row r="34" customFormat="false" ht="15" hidden="false" customHeight="false" outlineLevel="0" collapsed="false">
      <c r="A34" s="28" t="s">
        <v>203</v>
      </c>
      <c r="B34" s="14" t="s">
        <v>204</v>
      </c>
      <c r="C34" s="29" t="n">
        <f aca="false">SUMPRODUCT(ABS(Tax!$E$13:$AB$13))</f>
        <v>0</v>
      </c>
      <c r="D34" s="30" t="n">
        <v>0.5</v>
      </c>
      <c r="E34" s="31" t="str">
        <f aca="false">IF(ABS(C34)&lt;=D34,"OK","CHECK")</f>
        <v>OK</v>
      </c>
    </row>
    <row r="35" customFormat="false" ht="15" hidden="false" customHeight="false" outlineLevel="0" collapsed="false">
      <c r="A35" s="28" t="s">
        <v>205</v>
      </c>
      <c r="B35" s="14" t="s">
        <v>206</v>
      </c>
      <c r="C35" s="29" t="n">
        <f aca="false">SUMPRODUCT(ABS(Tax!$E$19:$AB$19))</f>
        <v>0</v>
      </c>
      <c r="D35" s="30" t="n">
        <v>0.5</v>
      </c>
      <c r="E35" s="31" t="str">
        <f aca="false">IF(ABS(C35)&lt;=D35,"OK","CHECK")</f>
        <v>OK</v>
      </c>
    </row>
    <row r="36" customFormat="false" ht="15" hidden="false" customHeight="false" outlineLevel="0" collapsed="false">
      <c r="A36" s="28" t="s">
        <v>207</v>
      </c>
      <c r="B36" s="14" t="s">
        <v>208</v>
      </c>
      <c r="C36" s="29" t="n">
        <f aca="false">ROUND(Tax!$C$26-(MAX(0,PL!$C$48)-MIN(Assumptions!$C$33,MAX(0,PL!$C$48),MAX(Assumptions!$C$35,Assumptions!$C$34*MAX(0,PL!$C$48))))*Assumptions!$C$31,0)+ROUND(Tax!$D$26-(MAX(0,PL!$D$48)-MIN(MAX(0,Assumptions!$C$33-MIN(Assumptions!$C$33,MAX(0,PL!$C$48),MAX(Assumptions!$C$35,Assumptions!$C$34*MAX(0,PL!$C$48)))+MAX(0,-PL!$C$48)),MAX(0,PL!$D$48),MAX(Assumptions!$C$35,Assumptions!$C$34*MAX(0,PL!$D$48))))*Assumptions!$C$32,0)</f>
        <v>0</v>
      </c>
      <c r="D36" s="30" t="n">
        <v>0.5</v>
      </c>
      <c r="E36" s="31" t="str">
        <f aca="false">IF(ABS(C36)&lt;=D36,"OK","CHECK")</f>
        <v>OK</v>
      </c>
    </row>
    <row r="37" customFormat="false" ht="15" hidden="false" customHeight="false" outlineLevel="0" collapsed="false">
      <c r="A37" s="22" t="s">
        <v>209</v>
      </c>
      <c r="B37" s="23"/>
      <c r="C37" s="23"/>
      <c r="D37" s="23"/>
      <c r="E37" s="23"/>
    </row>
    <row r="38" customFormat="false" ht="15" hidden="false" customHeight="false" outlineLevel="0" collapsed="false">
      <c r="A38" s="28" t="s">
        <v>210</v>
      </c>
      <c r="B38" s="14" t="s">
        <v>211</v>
      </c>
      <c r="C38" s="29" t="n">
        <f aca="false">AR_Aging!H14</f>
        <v>0</v>
      </c>
      <c r="D38" s="30" t="n">
        <v>0.5</v>
      </c>
      <c r="E38" s="31" t="str">
        <f aca="false">IF(ABS(C38)&lt;=D38,"OK","CHECK")</f>
        <v>OK</v>
      </c>
    </row>
    <row r="39" customFormat="false" ht="15" hidden="false" customHeight="false" outlineLevel="0" collapsed="false">
      <c r="A39" s="28" t="s">
        <v>212</v>
      </c>
      <c r="B39" s="14" t="s">
        <v>211</v>
      </c>
      <c r="C39" s="29" t="n">
        <f aca="false">AR_Aging!H15</f>
        <v>0</v>
      </c>
      <c r="D39" s="30" t="n">
        <v>0.5</v>
      </c>
      <c r="E39" s="31" t="str">
        <f aca="false">IF(ABS(C39)&lt;=D39,"OK","CHECK")</f>
        <v>OK</v>
      </c>
    </row>
    <row r="40" customFormat="false" ht="15" hidden="false" customHeight="false" outlineLevel="0" collapsed="false">
      <c r="A40" s="28" t="s">
        <v>213</v>
      </c>
      <c r="B40" s="14"/>
      <c r="C40" s="29" t="n">
        <f aca="false">AP_Aging!H14</f>
        <v>0</v>
      </c>
      <c r="D40" s="30" t="n">
        <v>0.5</v>
      </c>
      <c r="E40" s="31" t="str">
        <f aca="false">IF(ABS(C40)&lt;=D40,"OK","CHECK")</f>
        <v>OK</v>
      </c>
    </row>
    <row r="41" customFormat="false" ht="15" hidden="false" customHeight="false" outlineLevel="0" collapsed="false">
      <c r="A41" s="28" t="s">
        <v>214</v>
      </c>
      <c r="B41" s="14"/>
      <c r="C41" s="29" t="n">
        <f aca="false">AP_Aging!H15</f>
        <v>0</v>
      </c>
      <c r="D41" s="30" t="n">
        <v>0.5</v>
      </c>
      <c r="E41" s="31" t="str">
        <f aca="false">IF(ABS(C41)&lt;=D41,"OK","CHECK")</f>
        <v>OK</v>
      </c>
    </row>
    <row r="42" customFormat="false" ht="15" hidden="false" customHeight="false" outlineLevel="0" collapsed="false">
      <c r="A42" s="28" t="s">
        <v>215</v>
      </c>
      <c r="B42" s="14"/>
      <c r="C42" s="29" t="n">
        <f aca="false">AP_Aging!H16</f>
        <v>0</v>
      </c>
      <c r="D42" s="30" t="n">
        <v>0.5</v>
      </c>
      <c r="E42" s="31" t="str">
        <f aca="false">IF(ABS(C42)&lt;=D42,"OK","CHECK")</f>
        <v>OK</v>
      </c>
    </row>
    <row r="43" customFormat="false" ht="15" hidden="false" customHeight="false" outlineLevel="0" collapsed="false">
      <c r="A43" s="28" t="s">
        <v>216</v>
      </c>
      <c r="B43" s="14" t="s">
        <v>217</v>
      </c>
      <c r="C43" s="29" t="n">
        <f aca="false">SUMPRODUCT(ABS(ROUND(Receivables!$E$12:$AB$12,0)))</f>
        <v>0</v>
      </c>
      <c r="D43" s="30" t="n">
        <v>0.5</v>
      </c>
      <c r="E43" s="31" t="str">
        <f aca="false">IF(ABS(C43)&lt;=D43,"OK","CHECK")</f>
        <v>OK</v>
      </c>
    </row>
    <row r="44" customFormat="false" ht="15" hidden="false" customHeight="false" outlineLevel="0" collapsed="false">
      <c r="A44" s="28" t="s">
        <v>218</v>
      </c>
      <c r="B44" s="14" t="s">
        <v>219</v>
      </c>
      <c r="C44" s="29" t="n">
        <f aca="false">ROUND(SUMPRODUCT(ABS(Receivables!$E$18:$AB$18-Receivables!$E$15:$AB$15)*(Assumptions!$E$190:$AB$190="F"))+SUMPRODUCT(ABS(Receivables!$E$27:$AB$27-Receivables!$E$22:$AB$22-Receivables!$E$21:$AB$21)*(Assumptions!$E$190:$AB$190="F")),0)</f>
        <v>0</v>
      </c>
      <c r="D44" s="30" t="n">
        <v>0.5</v>
      </c>
      <c r="E44" s="31" t="str">
        <f aca="false">IF(ABS(C44)&lt;=D44,"OK","CHECK")</f>
        <v>OK</v>
      </c>
    </row>
    <row r="45" customFormat="false" ht="15" hidden="false" customHeight="false" outlineLevel="0" collapsed="false">
      <c r="A45" s="22" t="s">
        <v>220</v>
      </c>
      <c r="B45" s="23"/>
      <c r="C45" s="23"/>
      <c r="D45" s="23"/>
      <c r="E45" s="23"/>
    </row>
    <row r="46" customFormat="false" ht="15" hidden="false" customHeight="false" outlineLevel="0" collapsed="false">
      <c r="A46" s="28" t="s">
        <v>221</v>
      </c>
      <c r="B46" s="14" t="s">
        <v>222</v>
      </c>
      <c r="C46" s="29" t="n">
        <f aca="false">Cash_13W!C80</f>
        <v>0</v>
      </c>
      <c r="D46" s="30" t="n">
        <v>0.5</v>
      </c>
      <c r="E46" s="31" t="str">
        <f aca="false">IF(ABS(C46)&lt;=D46,"OK","CHECK")</f>
        <v>OK</v>
      </c>
    </row>
    <row r="47" customFormat="false" ht="15" hidden="false" customHeight="false" outlineLevel="0" collapsed="false">
      <c r="A47" s="28" t="s">
        <v>223</v>
      </c>
      <c r="B47" s="14" t="s">
        <v>224</v>
      </c>
      <c r="C47" s="29" t="n">
        <f aca="false">Scenarios!G30</f>
        <v>0</v>
      </c>
      <c r="D47" s="30" t="n">
        <v>0.5</v>
      </c>
      <c r="E47" s="31" t="str">
        <f aca="false">IF(ABS(C47)&lt;=D47,"OK","CHECK")</f>
        <v>OK</v>
      </c>
    </row>
    <row r="48" customFormat="false" ht="15" hidden="false" customHeight="false" outlineLevel="0" collapsed="false">
      <c r="A48" s="28" t="s">
        <v>225</v>
      </c>
      <c r="B48" s="14" t="s">
        <v>226</v>
      </c>
      <c r="C48" s="29" t="n">
        <f aca="false">ABS(BvA!E77)+ABS(BvA!I77)</f>
        <v>0</v>
      </c>
      <c r="D48" s="30" t="n">
        <v>0.5</v>
      </c>
      <c r="E48" s="31" t="str">
        <f aca="false">IF(ABS(C48)&lt;=D48,"OK","CHECK")</f>
        <v>OK</v>
      </c>
    </row>
    <row r="49" customFormat="false" ht="15" hidden="false" customHeight="false" outlineLevel="0" collapsed="false">
      <c r="A49" s="28" t="s">
        <v>227</v>
      </c>
      <c r="B49" s="14" t="s">
        <v>228</v>
      </c>
      <c r="C49" s="29" t="n">
        <f aca="false">BvA!B97</f>
        <v>0</v>
      </c>
      <c r="D49" s="30" t="n">
        <v>0.5</v>
      </c>
      <c r="E49" s="31" t="str">
        <f aca="false">IF(ABS(C49)&lt;=D49,"OK","CHECK")</f>
        <v>OK</v>
      </c>
    </row>
    <row r="50" customFormat="false" ht="15" hidden="false" customHeight="false" outlineLevel="0" collapsed="false">
      <c r="A50" s="22" t="s">
        <v>229</v>
      </c>
      <c r="B50" s="23"/>
      <c r="C50" s="23"/>
      <c r="D50" s="23"/>
      <c r="E50" s="23"/>
    </row>
    <row r="51" customFormat="false" ht="15" hidden="false" customHeight="false" outlineLevel="0" collapsed="false">
      <c r="A51" s="28" t="s">
        <v>230</v>
      </c>
      <c r="B51" s="14"/>
      <c r="C51" s="29" t="n">
        <f aca="false">MIN(MIN(Receivables!$E$18:$AB$18),MIN(Receivables!$E$27:$AB$27))</f>
        <v>158189.3424</v>
      </c>
      <c r="D51" s="30" t="n">
        <v>0.5</v>
      </c>
      <c r="E51" s="31" t="str">
        <f aca="false">IF(C51&gt;=-D51,"OK","CHECK")</f>
        <v>OK</v>
      </c>
    </row>
    <row r="52" customFormat="false" ht="15" hidden="false" customHeight="false" outlineLevel="0" collapsed="false">
      <c r="A52" s="28" t="s">
        <v>231</v>
      </c>
      <c r="B52" s="14"/>
      <c r="C52" s="29" t="n">
        <f aca="false">MIN(MIN(Payables!$E$11:$AB$11),MIN(Payables!$E$15:$AB$15),MIN(Payables!$E$19:$AB$19))</f>
        <v>26711.78</v>
      </c>
      <c r="D52" s="30" t="n">
        <v>0.5</v>
      </c>
      <c r="E52" s="31" t="str">
        <f aca="false">IF(C52&gt;=-D52,"OK","CHECK")</f>
        <v>OK</v>
      </c>
    </row>
    <row r="53" customFormat="false" ht="15" hidden="false" customHeight="false" outlineLevel="0" collapsed="false">
      <c r="A53" s="28" t="s">
        <v>232</v>
      </c>
      <c r="B53" s="14"/>
      <c r="C53" s="29" t="n">
        <f aca="false">MIN(MIN(Billings!$E$26:$AB$26),MIN(Billings!$E$30:$AB$30))</f>
        <v>72383.33</v>
      </c>
      <c r="D53" s="30" t="n">
        <v>0.5</v>
      </c>
      <c r="E53" s="31" t="str">
        <f aca="false">IF(C53&gt;=-D53,"OK","CHECK")</f>
        <v>OK</v>
      </c>
    </row>
    <row r="54" customFormat="false" ht="15" hidden="false" customHeight="false" outlineLevel="0" collapsed="false">
      <c r="A54" s="28" t="s">
        <v>233</v>
      </c>
      <c r="B54" s="14"/>
      <c r="C54" s="32" t="n">
        <f aca="false">MIN(MIN(Subscriptions!$E$9:$AB$57),MIN(Subscriptions!$E$123:$AB$182),MIN(Subscriptions!$E$60:$AB$108),MIN(Subscriptions!$E$185:$AB$244),MIN(Enterprise!$E$9:$AB$36))</f>
        <v>0</v>
      </c>
      <c r="D54" s="30" t="n">
        <v>0.001</v>
      </c>
      <c r="E54" s="31" t="str">
        <f aca="false">IF(C54&gt;=-D54,"OK","CHECK")</f>
        <v>OK</v>
      </c>
    </row>
    <row r="55" customFormat="false" ht="15" hidden="false" customHeight="false" outlineLevel="0" collapsed="false">
      <c r="A55" s="28" t="s">
        <v>234</v>
      </c>
      <c r="B55" s="14"/>
      <c r="C55" s="32" t="n">
        <f aca="false">MIN(People!$E$9:$AB$23)</f>
        <v>0.958767361111111</v>
      </c>
      <c r="D55" s="30" t="n">
        <v>0</v>
      </c>
      <c r="E55" s="31" t="str">
        <f aca="false">IF(C55&gt;=-D55,"OK","CHECK")</f>
        <v>OK</v>
      </c>
    </row>
    <row r="56" customFormat="false" ht="15" hidden="false" customHeight="false" outlineLevel="0" collapsed="false">
      <c r="A56" s="28" t="s">
        <v>235</v>
      </c>
      <c r="B56" s="14"/>
      <c r="C56" s="32" t="n">
        <f aca="false">MIN(MIN(Capitalised_Costs!$E$13:$AB$13),MIN(Capitalised_Costs!$E$19:$AB$19),MIN(Fixed_Assets!$E$12:$AB$12))</f>
        <v>135825.973628219</v>
      </c>
      <c r="D56" s="30" t="n">
        <v>0</v>
      </c>
      <c r="E56" s="31" t="str">
        <f aca="false">IF(C56&gt;=-D56,"OK","CHECK")</f>
        <v>OK</v>
      </c>
    </row>
    <row r="57" customFormat="false" ht="15" hidden="false" customHeight="false" outlineLevel="0" collapsed="false">
      <c r="A57" s="28" t="s">
        <v>236</v>
      </c>
      <c r="B57" s="14"/>
      <c r="C57" s="32" t="n">
        <f aca="false">MIN(Financing!$E$10:$AB$10)</f>
        <v>1055555.48</v>
      </c>
      <c r="D57" s="30" t="n">
        <v>0</v>
      </c>
      <c r="E57" s="31" t="str">
        <f aca="false">IF(C57&gt;=-D57,"OK","CHECK")</f>
        <v>OK</v>
      </c>
    </row>
    <row r="58" customFormat="false" ht="15" hidden="false" customHeight="false" outlineLevel="0" collapsed="false">
      <c r="A58" s="28" t="s">
        <v>237</v>
      </c>
      <c r="B58" s="14"/>
      <c r="C58" s="29" t="n">
        <f aca="false">COUNTIF(Assumptions!$E$190:$AB$190,"A")-Assumptions!$C$10</f>
        <v>0</v>
      </c>
      <c r="D58" s="30" t="n">
        <v>0.5</v>
      </c>
      <c r="E58" s="31" t="str">
        <f aca="false">IF(ABS(C58)&lt;=D58,"OK","CHECK")</f>
        <v>OK</v>
      </c>
    </row>
    <row r="60" customFormat="false" ht="15" hidden="false" customHeight="false" outlineLevel="0" collapsed="false">
      <c r="A60" s="33" t="s">
        <v>238</v>
      </c>
      <c r="B60" s="34"/>
      <c r="C60" s="34"/>
      <c r="D60" s="34"/>
      <c r="E60" s="35" t="str">
        <f aca="false">IF(COUNTIF(E6:E58,"CHECK")=0,"OK","CHECK")</f>
        <v>OK</v>
      </c>
    </row>
    <row r="62" customFormat="false" ht="15" hidden="false" customHeight="false" outlineLevel="0" collapsed="false">
      <c r="A62" s="22" t="s">
        <v>239</v>
      </c>
      <c r="B62" s="23"/>
      <c r="C62" s="23"/>
      <c r="D62" s="23"/>
      <c r="E62" s="23"/>
    </row>
    <row r="63" customFormat="false" ht="15" hidden="false" customHeight="false" outlineLevel="0" collapsed="false">
      <c r="A63" s="0" t="s">
        <v>240</v>
      </c>
      <c r="B63" s="14" t="s">
        <v>241</v>
      </c>
      <c r="C63" s="36" t="n">
        <f aca="false">MIN(BS!M9:AB9)</f>
        <v>2041290.76337461</v>
      </c>
    </row>
    <row r="64" customFormat="false" ht="15" hidden="false" customHeight="false" outlineLevel="0" collapsed="false">
      <c r="A64" s="0" t="s">
        <v>242</v>
      </c>
      <c r="B64" s="14" t="s">
        <v>243</v>
      </c>
      <c r="C64" s="36" t="n">
        <f aca="false">MIN(BS!M9:AB9)-Assumptions!$C$13</f>
        <v>1041290.76337461</v>
      </c>
    </row>
    <row r="65" customFormat="false" ht="15" hidden="false" customHeight="false" outlineLevel="0" collapsed="false">
      <c r="A65" s="0" t="s">
        <v>244</v>
      </c>
      <c r="B65" s="14"/>
      <c r="C65" s="36" t="n">
        <f aca="false">Cash_13W!C68</f>
        <v>3880281.11889628</v>
      </c>
    </row>
    <row r="66" customFormat="false" ht="15" hidden="false" customHeight="false" outlineLevel="0" collapsed="false">
      <c r="A66" s="0" t="s">
        <v>245</v>
      </c>
      <c r="B66" s="14" t="s">
        <v>246</v>
      </c>
      <c r="C66" s="37" t="n">
        <f aca="false">ARR_Bridge!$D$66</f>
        <v>0.948492162968659</v>
      </c>
    </row>
    <row r="67" customFormat="false" ht="15" hidden="false" customHeight="false" outlineLevel="0" collapsed="false">
      <c r="A67" s="0" t="s">
        <v>247</v>
      </c>
      <c r="B67" s="14" t="s">
        <v>248</v>
      </c>
      <c r="C67" s="37" t="n">
        <f aca="false">MAX(Account_Register!$T$7:$T$34)</f>
        <v>0.0282102220005589</v>
      </c>
    </row>
    <row r="68" customFormat="false" ht="15" hidden="false" customHeight="false" outlineLevel="0" collapsed="false">
      <c r="A68" s="0" t="s">
        <v>249</v>
      </c>
      <c r="B68" s="14" t="s">
        <v>250</v>
      </c>
      <c r="C68" s="36" t="n">
        <f aca="false">INDEX(Receivables!$E$21:$AB$21,Assumptions!$C$10)</f>
        <v>60663.54</v>
      </c>
    </row>
    <row r="69" customFormat="false" ht="15" hidden="false" customHeight="false" outlineLevel="0" collapsed="false">
      <c r="A69" s="0" t="s">
        <v>251</v>
      </c>
      <c r="B69" s="14" t="s">
        <v>252</v>
      </c>
      <c r="C69" s="38" t="n">
        <f aca="false">Assumptions!$C$29</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 collapsed="false" customWidth="true" hidden="false" outlineLevel="0" max="5" min="3" style="0" width="13"/>
    <col collapsed="false" customWidth="true" hidden="false" outlineLevel="0" max="6" min="6" style="0" width="46"/>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B2" s="21" t="s">
        <v>253</v>
      </c>
    </row>
    <row r="3" customFormat="false" ht="15" hidden="false" customHeight="false" outlineLevel="0" collapsed="false">
      <c r="B3" s="25" t="str">
        <f aca="false">"Reporting month: "&amp;TEXT(Assumptions!$C$9,"mmm-yy")&amp;" actuals, "&amp;Assumptions!$C$12&amp;" scenario for the outlook. Amounts in EUR. Every figure is a live link to the model; the narrative recalculates with the inputs."</f>
        <v>Reporting month: Aug-26 actuals, Base scenario for the outlook. Amounts in EUR. Every figure is a live link to the model; the narrative recalculates with the inputs.</v>
      </c>
    </row>
    <row r="4" customFormat="false" ht="15" hidden="false" customHeight="false" outlineLevel="0" collapsed="false">
      <c r="B4" s="39" t="s">
        <v>254</v>
      </c>
    </row>
    <row r="6" customFormat="false" ht="15" hidden="false" customHeight="false" outlineLevel="0" collapsed="false">
      <c r="B6" s="40" t="s">
        <v>255</v>
      </c>
      <c r="C6" s="41"/>
      <c r="D6" s="41"/>
      <c r="E6" s="41"/>
      <c r="F6" s="41"/>
    </row>
    <row r="7" customFormat="false" ht="84" hidden="false" customHeight="true" outlineLevel="0" collapsed="false">
      <c r="B7" s="42" t="str">
        <f aca="false">"Year to date revenue is EUR "&amp;TEXT((BvA!B22)/1000,"#,##0")&amp;"k, "&amp;TEXT((ABS(BvA!E22)),"0.0%")&amp;" "&amp;IF(BvA!D22&lt;0,"below","above")&amp;" budget, with "&amp;IF(BvA!B46&lt;0,"an EBITDA loss of EUR "&amp;TEXT(ABS(BvA!B46)/1000,"#,##0")&amp;"k","EBITDA of EUR "&amp;TEXT((BvA!B46)/1000,"#,##0")&amp;"k")&amp;" ("&amp;TEXT((ABS(BvA!B47)),"0.0%")&amp;" of revenue) against "&amp;IF(BvA!C46&lt;0,"a budgeted loss of EUR "&amp;TEXT(ABS(BvA!C46)/1000,"#,##0")&amp;"k","budgeted EBITDA of EUR "&amp;TEXT((BvA!C46)/1000,"#,##0")&amp;"k")&amp;". Subscription revenue accounts for EUR "&amp;TEXT(ABS(BvA!D20)/1000,"#,##0")&amp;"k of the revenue gap. Weighted by the months each movement has earned, four movements explain most of it: fewer new Essentials customers (EUR "&amp;TEXT(ABS(BvA!E60)/1000,"#,##0")&amp;"k), higher churn in Essentials (EUR "&amp;TEXT(ABS(BvA!E64)/1000,"#,##0")&amp;"k) and at Professional renewals (EUR "&amp;TEXT(ABS(BvA!E69)/1000,"#,##0")&amp;"k), and Osterna Retail Group leaving at its February renewal (EUR "&amp;TEXT(ABS(BvA!E74)/1000,"#,##0")&amp;"k). Payroll is EUR "&amp;TEXT(((BvA!D26+BvA!D30+BvA!D32+BvA!D36))/1000,"#,##0")&amp;"k below budget because hiring ran behind plan ("&amp;TEXT((INDEX(People!$E$24:$AB$24,Assumptions!$C$10)),"0")&amp;" people at "&amp;TEXT(Assumptions!$C$9,"mmm-yy")&amp;" against "&amp;TEXT((INDEX(Budget_FY26!$E$81:$P$81,Assumptions!$C$10)),"0")&amp;" budgeted); marketing programmes spent EUR "&amp;TEXT(ABS((BvA!D33+BvA!D34))/1000,"#,##0")&amp;"k more than budget."</f>
        <v>Year to date revenue is EUR 4,129k, 4.9% below budget, with an EBITDA loss of EUR 600k (14.5% of revenue) against a budgeted loss of EUR 475k. Subscription revenue accounts for EUR 209k of the revenue gap. Weighted by the months each movement has earned, four movements explain most of it: fewer new Essentials customers (EUR 59k), higher churn in Essentials (EUR 35k) and at Professional renewals (EUR 50k), and Osterna Retail Group leaving at its February renewal (EUR 48k). Payroll is EUR 159k below budget because hiring ran behind plan (88 people at Aug-26 against 95 budgeted); marketing programmes spent EUR 66k more than budget.</v>
      </c>
    </row>
    <row r="8" customFormat="false" ht="70.5" hidden="false" customHeight="true" outlineLevel="0" collapsed="false">
      <c r="B8" s="42" t="str">
        <f aca="false">"Full-year outlook ("&amp;Assumptions!$C$12&amp;"): revenue EUR "&amp;TEXT((BvA!F22)/1000,"#,##0")&amp;"k, "&amp;TEXT((ABS(BvA!I22)),"0.0%")&amp;" "&amp;IF(BvA!H22&lt;0,"below","above")&amp;" budget, and "&amp;IF(BvA!F46&lt;0,"an EBITDA loss of EUR "&amp;TEXT(ABS(BvA!F46)/1000,"#,##0")&amp;"k","EBITDA of EUR "&amp;TEXT((BvA!F46)/1000,"#,##0")&amp;"k")&amp;" against "&amp;IF(BvA!G46&lt;0,"a budgeted loss of EUR "&amp;TEXT(ABS(BvA!G46)/1000,"#,##0")&amp;"k","budgeted EBITDA of EUR "&amp;TEXT((BvA!G46)/1000,"#,##0")&amp;"k")&amp;". ARR closes December at EUR "&amp;TEXT((BvA!F11)/1000000,"0.00")&amp;"m against EUR "&amp;TEXT((BvA!G11)/1000000,"0.00")&amp;"m budgeted, "&amp;IF((BvA!F11/(12*(History!$N$13+History!$N$24+History!$N$36))-1)&gt;=0,TEXT((BvA!F11/(12*(History!$N$13+History!$N$24+History!$N$36))-1),"0.0%")&amp;" growth",TEXT(ABS((BvA!F11/(12*(History!$N$13+History!$N$24+History!$N$36))-1)),"0.0%")&amp;" decline")&amp;" on December 2025. EBITDA excludes EUR "&amp;TEXT((PL!$C$26)/1000,"#,##0")&amp;"k of engineering payroll capitalised as development (IAS 38): counting that spend, the operating loss is EUR "&amp;TEXT(ABS(PL!$C$41-PL!$C$26)/1000,"#,##0")&amp;"k, the better measure of what the business consumes."</f>
        <v>Full-year outlook (Base): revenue EUR 6,426k, 6.4% below budget, and an EBITDA loss of EUR 670k against a budgeted loss of EUR 481k. ARR closes December at EUR 6.89m against EUR 7.59m budgeted, 26.8% growth on December 2025. EBITDA excludes EUR 664k of engineering payroll capitalised as development (IAS 38): counting that spend, the operating loss is EUR 1,335k, the better measure of what the business consumes.</v>
      </c>
    </row>
    <row r="9" customFormat="false" ht="43.5" hidden="false" customHeight="true" outlineLevel="0" collapsed="false">
      <c r="B9" s="42" t="str">
        <f aca="false">"Net revenue retention over the last twelve months is "&amp;TEXT((INDEX(ARR_Bridge!$E$66:$AB$66,Assumptions!$C$10)),"0.0%")&amp;" and gross revenue retention "&amp;TEXT((INDEX(ARR_Bridge!$E$67:$AB$67,Assumptions!$C$10)),"0.0%")&amp;". Enterprise keeps "&amp;TEXT((INDEX(ARR_Bridge!$E$51:$AB$51,Assumptions!$C$10)),"0%")&amp;" of its revenue, Professional "&amp;TEXT((INDEX(ARR_Bridge!$E$36:$AB$36,Assumptions!$C$10)),"0%")&amp;" and Essentials "&amp;TEXT((INDEX(ARR_Bridge!$E$21:$AB$21,Assumptions!$C$10)),"0%")&amp;". Essentials, "&amp;TEXT(((INDEX(ARR_Bridge!$E$15:$AB$15,Assumptions!$C$10)/INDEX(ARR_Bridge!$E$60:$AB$60,Assumptions!$C$10))),"0%")&amp;" of MRR, is where the book leaks: it loses "&amp;TEXT((AVERAGEIFS(ARR_Bridge!$E$68:$AB$68,Assumptions!$E$190:$AB$190,"A")),"0.0%")&amp;" of its customers every month, so the new customers each month first replace the ones leaving before the segment grows."</f>
        <v>Net revenue retention over the last twelve months is 92.4% and gross revenue retention 77.8%. Enterprise keeps 103% of its revenue, Professional 94% and Essentials 83%. Essentials, 36% of MRR, is where the book leaks: it loses 2.9% of its customers every month, so the new customers each month first replace the ones leaving before the segment grows.</v>
      </c>
    </row>
    <row r="10" customFormat="false" ht="97.5" hidden="false" customHeight="true" outlineLevel="0" collapsed="false">
      <c r="B10" s="42" t="str">
        <f aca="false">"Cash is EUR "&amp;TEXT((INDEX(BS!$E$9:$AB$9,Assumptions!$C$10))/1000,"#,##0")&amp;"k at "&amp;TEXT(Assumptions!$C$9,"mmm-yy")&amp;", EUR "&amp;TEXT(ABS(BvA!D54)/1000,"#,##0")&amp;"k "&amp;IF(BvA!D54&lt;0,"below","above")&amp;" budget. The EUR 2.0m venture debt started amortising in August (EUR "&amp;TEXT((Assumptions!$C$161)/1000,"#,##0")&amp;"k a month plus interest) and its covenant requires EUR "&amp;TEXT((Assumptions!$C$13)/1000,"#,##0")&amp;"k of cash at all times. In the "&amp;Assumptions!$C$12&amp;" case cash is EUR "&amp;TEXT((Scenarios!F24)/1000,"#,##0")&amp;"k at December 2027, "&amp;IF(Scenarios!F27&gt;=0,"EUR "&amp;TEXT((Scenarios!F27)/1000,"#,##0")&amp;"k above the covenant floor","EUR "&amp;TEXT(ABS(Scenarios!F27)/1000,"#,##0")&amp;"k below the covenant floor, a breach")&amp;IF(Unit_Economics!$D$45&gt;=60,", with the business generating cash by then.",IF(Unit_Economics!$D$45&lt;1.5,", and at the outflow of late 2027 the floor is reached within weeks, around "&amp;TEXT(EOMONTH(Assumptions!AB$188,1),"mmm-yy")&amp;".",", and at the outflow of late 2027 the floor is reached in about "&amp;TEXT((Unit_Economics!$D$45),"0")&amp;" months, around "&amp;TEXT(EOMONTH(Assumptions!AB$188,ROUND(Unit_Economics!$D$45,0)),"mmm-yy")&amp;"."))&amp;IF(Assumptions!$C$11=2,""," The Downside leaves "&amp;IF(Scenarios!D27&gt;=0,"EUR "&amp;TEXT((Scenarios!D27)/1000,"#,##0")&amp;"k above the covenant floor","EUR "&amp;TEXT(ABS(Scenarios!D27)/1000,"#,##0")&amp;"k below the covenant floor, a breach")&amp;" at December 2027.")&amp;" The funding decision (new equity, a refinancing or a faster route to break-even) belongs in the first half of 2027, while the headroom is still large."</f>
        <v>Cash is EUR 4,314k at Aug-26, EUR 263k below budget. The EUR 2.0m venture debt started amortising in August (EUR 56k a month plus interest) and its covenant requires EUR 1,000k of cash at all times. In the Base case cash is EUR 2,041k at December 2027, EUR 1,041k above the covenant floor, and at the outflow of late 2027 the floor is reached in about 6 months, around Jun-28. The Downside leaves EUR 136k above the covenant floor at December 2027. The funding decision (new equity, a refinancing or a faster route to break-even) belongs in the first half of 2027, while the headroom is still large.</v>
      </c>
    </row>
    <row r="11" customFormat="false" ht="70.5" hidden="false" customHeight="true" outlineLevel="0" collapsed="false">
      <c r="B11" s="42" t="str">
        <f aca="false">"FY2027 ("&amp;Assumptions!$C$12&amp;"): ARR EUR "&amp;TEXT((Scenarios!F10)/1000000,"0.00")&amp;"m at December ("&amp;IF((Scenarios!F10/Scenarios!F9-1)&gt;=0,TEXT((Scenarios!F10/Scenarios!F9-1),"0.0%")&amp;" growth",TEXT(ABS((Scenarios!F10/Scenarios!F9-1)),"0.0%")&amp;" decline")&amp;"), revenue EUR "&amp;TEXT((PL!$D$14)/1000,"#,##0")&amp;"k and "&amp;IF(PL!$D$41&lt;0,"an EBITDA loss of EUR "&amp;TEXT(ABS(PL!$D$41)/1000,"#,##0")&amp;"k","EBITDA of EUR "&amp;TEXT((PL!$D$41)/1000,"#,##0")&amp;"k")&amp;IF(PL!$AB$41&gt;0,", positive by December ("&amp;"EUR "&amp;TEXT((PL!$AB$41)/1000,"#,##0")&amp;"k in the month).",", still negative in December.")&amp;" Marvessa Hotels, the largest account (EUR "&amp;TEXT(((12*Account_Register!$Q$7))/1000,"#,##0")&amp;"k of ARR), renews in January 2027 and has opened a review of its technology suppliers; this case carries a "&amp;TEXT((Account_Register!$M$7),"0%")&amp;" renewal probability. The six named Enterprise deals are worth EUR "&amp;TEXT((12*SUM(Account_Register!$H$29:$H$34))/1000,"#,##0")&amp;"k of ARR at signature and EUR "&amp;TEXT((12*SUMPRODUCT(Account_Register!$H$29:$H$34,Account_Register!$M$29:$M$34))/1000,"#,##0")&amp;"k at their win probabilities."</f>
        <v>FY2027 (Base): ARR EUR 8.52m at December (23.7% growth), revenue EUR 8,029k and an EBITDA loss of EUR 139k, positive by December (EUR 46k in the month). Marvessa Hotels, the largest account (EUR 176k of ARR), renews in January 2027 and has opened a review of its technology suppliers; this case carries a 75% renewal probability. The six named Enterprise deals are worth EUR 503k of ARR at signature and EUR 247k at their win probabilities.</v>
      </c>
    </row>
    <row r="12" customFormat="false" ht="15" hidden="false" customHeight="false" outlineLevel="0" collapsed="false">
      <c r="B12" s="40" t="s">
        <v>256</v>
      </c>
      <c r="C12" s="41"/>
      <c r="D12" s="41"/>
      <c r="E12" s="41"/>
      <c r="F12" s="41"/>
    </row>
    <row r="13" customFormat="false" ht="70.5" hidden="false" customHeight="true" outlineLevel="0" collapsed="false">
      <c r="B13" s="42" t="str">
        <f aca="false">"New business: Essentials added "&amp;TEXT((SUMIFS(ARR_Bridge!$E$18:$AB$18,Assumptions!$E$190:$AB$190,"A")),"0")&amp;" customers against "&amp;TEXT((SUMIFS(Budget_FY26!$E$15:$P$15,Assumptions!$E$189:$P$189,"&lt;="&amp;Assumptions!$C$10)),"0")&amp;" budgeted, Professional "&amp;TEXT((SUMIFS(ARR_Bridge!$E$33:$AB$33,Assumptions!$E$190:$AB$190,"A")),"0")&amp;" against "&amp;TEXT((SUMIFS(Budget_FY26!$E$25:$P$25,Assumptions!$E$189:$P$189,"&lt;="&amp;Assumptions!$C$10)),"0")&amp;", and Enterprise "&amp;TEXT((SUMIFS(ARR_Bridge!$E$48:$AB$48,Assumptions!$E$190:$AB$190,"A")),"0")&amp;" as budgeted: Belvarra Hotels (EUR "&amp;TEXT((Account_Register!$H$27),"#,##0")&amp;" of MRR, April) and Ferrano Retail (EUR "&amp;TEXT((Account_Register!$H$28),"#,##0")&amp;", July), each a month later than the budget assumed. Churn: Essentials lost "&amp;TEXT((-SUMIFS(ARR_Bridge!$E$19:$AB$19,Assumptions!$E$190:$AB$190,"A")),"0")&amp;" customers against "&amp;TEXT((-SUMIFS(Budget_FY26!$E$16:$P$16,Assumptions!$E$189:$P$189,"&lt;="&amp;Assumptions!$C$10)),"0")&amp;" budgeted; Professional renewals lost "&amp;TEXT((-SUMIFS(ARR_Bridge!$E$34:$AB$34,Assumptions!$E$190:$AB$190,"A")),"0")&amp;" customers and EUR "&amp;TEXT(ABS(SUMIFS(ARR_Bridge!$E$29:$AB$29,Assumptions!$E$190:$AB$190,"A"))/1000,"#,##0")&amp;"k of MRR against EUR "&amp;TEXT(ABS(SUMIFS(Budget_FY26!$E$23:$P$23,Assumptions!$E$189:$P$189,"&lt;="&amp;Assumptions!$C$10))/1000,"#,##0")&amp;"k budgeted; Osterna Retail Group (EUR "&amp;TEXT((Account_Register!$H$11),"#,##0")&amp;" of MRR) left at its February renewal for a lower-priced bundle from its point-of-sale provider."</f>
        <v>New business: Essentials added 238 customers against 284 budgeted, Professional 41 against 43, and Enterprise 2 as budgeted: Belvarra Hotels (EUR 11,500 of MRR, April) and Ferrano Retail (EUR 5,800, July), each a month later than the budget assumed. Churn: Essentials lost 175 customers against 141 budgeted; Professional renewals lost 22 customers and EUR 21k of MRR against EUR 11k budgeted; Osterna Retail Group (EUR 6,888 of MRR) left at its February renewal for a lower-priced bundle from its point-of-sale provider.</v>
      </c>
    </row>
    <row r="14" customFormat="false" ht="84" hidden="false" customHeight="true" outlineLevel="0" collapsed="false">
      <c r="B14" s="42" t="str">
        <f aca="false">"Costs: payroll is EUR "&amp;TEXT(((BvA!D26+BvA!D30+BvA!D32+BvA!D36))/1000,"#,##0")&amp;"k below budget. Hiring ran behind plan and three people left in July and August (a software engineer, a support agent and an account executive); development capitalised is EUR "&amp;TEXT(ABS(BvA!D31)/1000,"#,##0")&amp;"k lower with it. Marketing programmes are EUR "&amp;TEXT(ABS((BvA!D33+BvA!D34))/1000,"#,##0")&amp;"k over budget: paid media ran "&amp;TEXT((ABS(BvA!E33)),"0%")&amp;" above budget with the first-quarter campaign, and events include the May trade fair stand. The extra spend did not buy extra customers: CAC rose from EUR "&amp;TEXT((Unit_Economics!$G$16),"#,##0")&amp;" per new customer in the first quarter to EUR "&amp;TEXT((INDEX(Unit_Economics!$E$16:$AB$16,Assumptions!$C$10)),"#,##0")&amp;" in the three months to "&amp;TEXT(Assumptions!$C$9,"mmm-yy")&amp;". Hosting, third-party services and card fees are EUR "&amp;TEXT((BvA!D23+BvA!D24+BvA!D25)/1000,"#,##0")&amp;"k under budget with the lower MRR, and the gross margin is "&amp;TEXT((BvA!B29),"0.0%")&amp;" against "&amp;TEXT((BvA!C29),"0.0%")&amp;" budgeted."</f>
        <v>Costs: payroll is EUR 159k below budget. Hiring ran behind plan and three people left in July and August (a software engineer, a support agent and an account executive); development capitalised is EUR 25k lower with it. Marketing programmes are EUR 66k over budget: paid media ran 7% above budget with the first-quarter campaign, and events include the May trade fair stand. The extra spend did not buy extra customers: CAC rose from EUR 5,184 per new customer in the first quarter to EUR 6,093 in the three months to Aug-26. Hosting, third-party services and card fees are EUR 10k under budget with the lower MRR, and the gross margin is 78.1% against 78.5% budgeted.</v>
      </c>
    </row>
    <row r="15" customFormat="false" ht="15" hidden="false" customHeight="false" outlineLevel="0" collapsed="false">
      <c r="B15" s="40" t="s">
        <v>257</v>
      </c>
      <c r="C15" s="41"/>
      <c r="D15" s="41"/>
      <c r="E15" s="41"/>
      <c r="F15" s="41"/>
    </row>
    <row r="16" customFormat="false" ht="57" hidden="false" customHeight="true" outlineLevel="0" collapsed="false">
      <c r="B16" s="42" t="str">
        <f aca="false">"ARR is EUR "&amp;TEXT((INDEX(ARR_Bridge!$E$61:$AB$61,Assumptions!$C$10))/1000000,"0.00")&amp;"m at "&amp;TEXT(Assumptions!$C$9,"mmm-yy")&amp;", "&amp;IF(INDEX(ARR_Bridge!$E$65:$AB$65,Assumptions!$C$10)&gt;=0,TEXT(INDEX(ARR_Bridge!$E$65:$AB$65,Assumptions!$C$10),"0.0%")&amp;" growth",TEXT(ABS(INDEX(ARR_Bridge!$E$65:$AB$65,Assumptions!$C$10)),"0.0%")&amp;" decline")&amp;" on a year earlier: Essentials EUR "&amp;TEXT((INDEX(ARR_Bridge!$E$16:$AB$16,Assumptions!$C$10))/1000000,"0.00")&amp;"m, Professional EUR "&amp;TEXT((INDEX(ARR_Bridge!$E$31:$AB$31,Assumptions!$C$10))/1000000,"0.00")&amp;"m and Enterprise EUR "&amp;TEXT((INDEX(ARR_Bridge!$E$46:$AB$46,Assumptions!$C$10))/1000000,"0.00")&amp;"m. "&amp;TEXT((INDEX(ARR_Bridge!$E$63:$AB$63,Assumptions!$C$10)),"#,##0")&amp;" customers pay EUR "&amp;TEXT((INDEX(ARR_Bridge!$E$64:$AB$64,Assumptions!$C$10)),"#,##0")&amp;" a month on average: EUR "&amp;TEXT((INDEX(ARR_Bridge!$E$20:$AB$20,Assumptions!$C$10)),"#,##0")&amp;" in Essentials, EUR "&amp;TEXT((INDEX(ARR_Bridge!$E$35:$AB$35,Assumptions!$C$10)),"#,##0")&amp;" in Professional and EUR "&amp;TEXT((INDEX(ARR_Bridge!$E$50:$AB$50,Assumptions!$C$10)),"#,##0")&amp;" in Enterprise. Gross retention by segment: Enterprise "&amp;TEXT((INDEX(ARR_Bridge!$E$52:$AB$52,Assumptions!$C$10)),"0%")&amp;", Professional "&amp;TEXT((INDEX(ARR_Bridge!$E$37:$AB$37,Assumptions!$C$10)),"0%")&amp;", Essentials "&amp;TEXT((INDEX(ARR_Bridge!$E$22:$AB$22,Assumptions!$C$10)),"0%")&amp;"."</f>
        <v>ARR is EUR 6.40m at Aug-26, 25.5% growth on a year earlier: Essentials EUR 2.33m, Professional EUR 2.25m and Enterprise EUR 1.83m. 977 customers pay EUR 546 a month on average: EUR 245 in Essentials, EUR 1,136 in Professional and EUR 7,253 in Enterprise. Gross retention by segment: Enterprise 94%, Professional 79%, Essentials 64%.</v>
      </c>
    </row>
    <row r="17" customFormat="false" ht="57" hidden="false" customHeight="true" outlineLevel="0" collapsed="false">
      <c r="B17" s="42" t="str">
        <f aca="false">"Cohorts: the 2024 acquisition cohorts kept "&amp;TEXT((Cohorts!$S$46),"0%")&amp;" of the MRR they had at their first quarter end after four quarters and "&amp;TEXT((Cohorts!$T$46),"0%")&amp;" after eight; the 2025 cohorts kept "&amp;TEXT((Cohorts!$S$47),"0%")&amp;" after four. Customers fall faster than MRR because the customers who stay add locations and take the price increases: "&amp;TEXT((Cohorts!$S$91),"0%")&amp;" of the 2024 customers and "&amp;TEXT((Cohorts!$S$92),"0%")&amp;" of the 2025 customers were still live four quarters after the end of the quarter in which they joined."</f>
        <v>Cohorts: the 2024 acquisition cohorts kept 93% of the MRR they had at their first quarter end after four quarters and 91% after eight; the 2025 cohorts kept 86% after four. Customers fall faster than MRR because the customers who stay add locations and take the price increases: 72% of the 2024 customers and 67% of the 2025 customers were still live four quarters after the end of the quarter in which they joined.</v>
      </c>
    </row>
    <row r="18" customFormat="false" ht="57" hidden="false" customHeight="true" outlineLevel="0" collapsed="false">
      <c r="B18" s="42" t="str">
        <f aca="false">"Renewals ahead: "&amp;TEXT((SUMPRODUCT((MONTH(Account_Register!$E$7:$E$28)&gt;=9)*(Account_Register!$Q$7:$Q$28&gt;0))),"0")&amp;" Enterprise accounts with EUR "&amp;TEXT((12*SUMPRODUCT((MONTH(Account_Register!$E$7:$E$28)&gt;=9)*Account_Register!$Q$7:$Q$28))/1000,"#,##0")&amp;"k of ARR renew between September and December, and Marvessa Hotels (EUR "&amp;TEXT(((12*Account_Register!$Q$7))/1000,"#,##0")&amp;"k of ARR, "&amp;TEXT((Account_Register!$T$7),"0.0%")&amp;" of FY2026 subscription revenue) renews in January. No single account is more than "&amp;TEXT((MAX(Account_Register!$T$7:$T$34)),"0.0%")&amp;" of subscription revenue, so the Enterprise risk is the renewal calendar rather than concentration. Professional contracts renew on their anniversaries all year; the first renewal is the weak one, with "&amp;TEXT((Assumptions!$C$124),"0%")&amp;" of customers leaving against "&amp;TEXT((Assumptions!$C$125),"0%")&amp;" at later renewals."</f>
        <v>Renewals ahead: 7 Enterprise accounts with EUR 545k of ARR renew between September and December, and Marvessa Hotels (EUR 176k of ARR, 2.8% of FY2026 subscription revenue) renews in January. No single account is more than 2.8% of subscription revenue, so the Enterprise risk is the renewal calendar rather than concentration. Professional contracts renew on their anniversaries all year; the first renewal is the weak one, with 18% of customers leaving against 10% at later renewals.</v>
      </c>
    </row>
    <row r="19" customFormat="false" ht="15" hidden="false" customHeight="false" outlineLevel="0" collapsed="false">
      <c r="B19" s="40" t="s">
        <v>258</v>
      </c>
      <c r="C19" s="41"/>
      <c r="D19" s="41"/>
      <c r="E19" s="41"/>
      <c r="F19" s="41"/>
    </row>
    <row r="20" customFormat="false" ht="57" hidden="false" customHeight="true" outlineLevel="0" collapsed="false">
      <c r="B20" s="42" t="str">
        <f aca="false">"Three months to "&amp;TEXT(Assumptions!$C$9,"mmm-yy")&amp;": sales and marketing spend of EUR "&amp;TEXT((INDEX(Unit_Economics!$E$16:$AB$16,Assumptions!$C$10)),"#,##0")&amp;" per new customer (CAC, all segments), a payback of "&amp;TEXT((INDEX(Unit_Economics!$E$18:$AB$18,Assumptions!$C$10)),"0")&amp;" months on new and expansion MRR after gross margin, and LTV / CAC of "&amp;TEXT((INDEX(Unit_Economics!$E$25:$AB$25,Assumptions!$C$10)),"0.0")&amp;"x at a monthly gross MRR churn of "&amp;TEXT((INDEX(Unit_Economics!$E$22:$AB$22,Assumptions!$C$10)),"0.0%")&amp;". Twelve months to "&amp;TEXT(Assumptions!$C$9,"mmm-yy")&amp;": a burn multiple of "&amp;TEXT((INDEX(Unit_Economics!$E$33:$AB$33,Assumptions!$C$10)),"0.00")&amp;"x (net burn EUR "&amp;TEXT((INDEX(Unit_Economics!$E$31:$AB$31,Assumptions!$C$10))/1000,"#,##0")&amp;"k for EUR "&amp;TEXT((INDEX(Unit_Economics!$E$32:$AB$32,Assumptions!$C$10))/1000,"#,##0")&amp;"k of net new ARR) and a Rule of 40 score of "&amp;TEXT((INDEX(Unit_Economics!$E$38:$AB$38,Assumptions!$C$10)),"0%")&amp;" ("&amp;TEXT((INDEX(Unit_Economics!$E$34:$AB$34,Assumptions!$C$10)),"0%")&amp;" ARR growth, "&amp;TEXT((INDEX(Unit_Economics!$E$37:$AB$37,Assumptions!$C$10)),"0%")&amp;" EBITDA margin). ARR per employee is EUR "&amp;TEXT((INDEX(Unit_Economics!$E$39:$AB$39,Assumptions!$C$10))/1000,"#,##0")&amp;"k."</f>
        <v>Three months to Aug-26: sales and marketing spend of EUR 6,093 per new customer (CAC, all segments), a payback of 17 months on new and expansion MRR after gross margin, and LTV / CAC of 4.2x at a monthly gross MRR churn of 1.7%. Twelve months to Aug-26: a burn multiple of 1.31x (net burn EUR 1,707k for EUR 1,299k of net new ARR) and a Rule of 40 score of 8% (25% ARR growth, -18% EBITDA margin). ARR per employee is EUR 73k.</v>
      </c>
    </row>
    <row r="21" customFormat="false" ht="43.5" hidden="false" customHeight="true" outlineLevel="0" collapsed="false">
      <c r="B21" s="42" t="str">
        <f aca="false">"In the "&amp;Assumptions!$C$12&amp;" case the Rule of 40 is "&amp;TEXT((Scenarios!F22),"0%")&amp;" at December 2027"&amp;IF(Scenarios!F21&gt;0," and the burn multiple "&amp;TEXT((Scenarios!F21),"0.00")&amp;"x"," and the burn multiple is not meaningful because ARR does not grow")&amp;". Hosting goes from "&amp;TEXT((-PL!$C$17/PL!$C$14),"0.0%")&amp;" of revenue in FY2026 to "&amp;TEXT((-PL!$D$17/PL!$D$14),"0.0%")&amp;" in FY2027"&amp;IF(-PL!$D$17/PL!$D$14&lt;-PL!$C$17/PL!$C$14-0.002," as the fixed platform cost is spread over more MRR","")&amp;", and the support, onboarding and success teams from "&amp;TEXT((-PL!$C$20/PL!$C$14),"0.0%")&amp;" to "&amp;TEXT((-PL!$D$20/PL!$D$14),"0.0%")&amp;"; the gross margin moves from "&amp;TEXT((PL!$C$23),"0.0%")&amp;" to "&amp;TEXT((PL!$D$23),"0.0%")&amp;"."</f>
        <v>In the Base case the Rule of 40 is 22% at December 2027 and the burn multiple 0.60x. Hosting goes from 5.1% of revenue in FY2026 to 4.8% in FY2027 as the fixed platform cost is spread over more MRR, and the support, onboarding and success teams from 13.9% to 13.5%; the gross margin moves from 78.4% to 79.1%.</v>
      </c>
    </row>
    <row r="22" customFormat="false" ht="15" hidden="false" customHeight="false" outlineLevel="0" collapsed="false">
      <c r="B22" s="40" t="s">
        <v>259</v>
      </c>
      <c r="C22" s="41"/>
      <c r="D22" s="41"/>
      <c r="E22" s="41"/>
      <c r="F22" s="41"/>
    </row>
    <row r="23" customFormat="false" ht="57" hidden="false" customHeight="true" outlineLevel="0" collapsed="false">
      <c r="B23" s="42" t="str">
        <f aca="false">"Professional and Enterprise pay a year in advance, so billings run ahead of revenue: FY2026 billings are EUR "&amp;TEXT((Billings!$C$14)/1000,"#,##0")&amp;"k against revenue of EUR "&amp;TEXT((PL!$C$14)/1000,"#,##0")&amp;"k, and deferred revenue is EUR "&amp;TEXT((INDEX(BS!$E$43:$AB$43,Assumptions!$C$10))/1000,"#,##0")&amp;"k at "&amp;TEXT(Assumptions!$C$9,"mmm-yy")&amp;", "&amp;TEXT((INDEX(Billings!$E$43:$AB$43,Assumptions!$C$10)),"0.0")&amp;" months of MRR. That balance is interest-free funding from customers. January is the largest billing month (EUR "&amp;TEXT((Billings!$E$14)/1000,"#,##0")&amp;"k in 2026) because the older contracts renew then; moving customers to monthly billing would give that float away."</f>
        <v>Professional and Enterprise pay a year in advance, so billings run ahead of revenue: FY2026 billings are EUR 6,891k against revenue of EUR 6,426k, and deferred revenue is EUR 1,926k at Aug-26, 3.6 months of MRR. That balance is interest-free funding from customers. January is the largest billing month (EUR 894k in 2026) because the older contracts renew then; moving customers to monthly billing would give that float away.</v>
      </c>
    </row>
    <row r="24" customFormat="false" ht="57" hidden="false" customHeight="true" outlineLevel="0" collapsed="false">
      <c r="B24" s="42" t="str">
        <f aca="false">"Professional and Enterprise receivables are EUR "&amp;TEXT((INDEX(Receivables!$E$29:$AB$29,Assumptions!$C$10))/1000,"#,##0")&amp;"k, "&amp;TEXT((INDEX(Receivables!$E$33:$AB$33,Assumptions!$C$10)),"0")&amp;" debtor days. Brandelo Cafes has not paid its June renewal invoice (EUR "&amp;TEXT((Assumptions!$C$147)/1000,"#,##0")&amp;"k) while it disputes a 30% cut in its locations; the "&amp;Assumptions!$C$12&amp;" case collects "&amp;TEXT((Assumptions!$F$184),"0%")&amp;" of it in "&amp;TEXT(Assumptions!$F$185,"mmm-yy")&amp;". A Professional customer, a restaurant group, went insolvent in June and its EUR "&amp;TEXT((SUMIFS(Receivables!$E$17:$AB$17,Assumptions!$E$190:$AB$190,"A")),"#,##0")&amp;" April renewal invoice was written off. Essentials is charged by card: it carries no receivable, and the card fees cost "&amp;TEXT((-PL!$C$19/PL!$C$9),"0.0%")&amp;" of Essentials revenue."</f>
        <v>Professional and Enterprise receivables are EUR 396k, 35 debtor days. Brandelo Cafes has not paid its June renewal invoice (EUR 61k) while it disputes a 30% cut in its locations; the Base case collects 100% of it in Oct-26. A Professional customer, a restaurant group, went insolvent in June and its EUR 9,800 April renewal invoice was written off. Essentials is charged by card: it carries no receivable, and the card fees cost 3.0% of Essentials revenue.</v>
      </c>
    </row>
    <row r="25" customFormat="false" ht="15" hidden="false" customHeight="false" outlineLevel="0" collapsed="false">
      <c r="B25" s="40" t="s">
        <v>260</v>
      </c>
      <c r="C25" s="41"/>
      <c r="D25" s="41"/>
      <c r="E25" s="41"/>
      <c r="F25" s="41"/>
    </row>
    <row r="26" customFormat="false" ht="97.5" hidden="false" customHeight="true" outlineLevel="0" collapsed="false">
      <c r="B26" s="42" t="str">
        <f aca="false">"Headcount is "&amp;TEXT((INDEX(People!$E$24:$AB$24,Assumptions!$C$10)),"0")&amp;" at "&amp;TEXT(Assumptions!$C$9,"mmm-yy")&amp;" against "&amp;TEXT((INDEX(Budget_FY26!$E$81:$P$81,Assumptions!$C$10)),"0")&amp;" budgeted, and "&amp;TEXT((Scenarios!F28),"0")&amp;" at December 2027 in the "&amp;Assumptions!$C$12&amp;" case"&amp;IF(Assumptions!$F$176&lt;1," (half the hiring plan, half of leavers replaced and "&amp;TEXT((Assumptions!$F$179),"0")&amp;" roles cut from "&amp;TEXT(Assumptions!$F$180,"mmm-yy")&amp;" with EUR "&amp;TEXT((People!$D$218)/1000,"#,##0")&amp;"k of severance)."," (an engineer, a customer success manager and an account executive join from September to November, fourteen people in 2027, and leavers are replaced after two months).")&amp;" Payroll with employer social security is "&amp;TEXT(((-(PL!$C$20+PL!$C$25+PL!$C$27+PL!$C$31)/PL!$C$14)),"0%")&amp;" of FY2026 revenue. Research and development costs "&amp;TEXT((PL!$C$59),"0%")&amp;" of revenue before capitalisation; EUR "&amp;TEXT((PL!$C$26)/1000,"#,##0")&amp;"k of engineering time on new modules is capitalised in FY2026 and EUR "&amp;TEXT(ABS(PL!$C$44)/1000,"#,##0")&amp;"k amortised, so capitalisation adds EUR "&amp;TEXT((PL!$C$26+PL!$C$44)/1000,"#,##0")&amp;"k to the FY2026 result. The auditors will test that time against IAS 38.57: the time records and the business case for each module need to be ready at the year end."</f>
        <v>Headcount is 88 at Aug-26 against 95 budgeted, and 102 at December 2027 in the Base case (an engineer, a customer success manager and an account executive join from September to November, fourteen people in 2027, and leavers are replaced after two months). Payroll with employer social security is 81% of FY2026 revenue. Research and development costs 40% of revenue before capitalisation; EUR 664k of engineering time on new modules is capitalised in FY2026 and EUR 494k amortised, so capitalisation adds EUR 171k to the FY2026 result. The auditors will test that time against IAS 38.57: the time records and the business case for each module need to be ready at the year end.</v>
      </c>
    </row>
    <row r="27" customFormat="false" ht="57" hidden="false" customHeight="true" outlineLevel="0" collapsed="false">
      <c r="B27" s="42" t="str">
        <f aca="false">"2027 pay carries the "&amp;TEXT((Assumptions!$F$175),"0.0%")&amp;" pay review of this case, the intergenerational equity contribution rising to 1.0% and a maximum contribution base assumed at EUR "&amp;TEXT((Assumptions!$C$57),"#,##0")&amp;" a month (EUR "&amp;TEXT((Assumptions!$C$56),"#,##0.00")&amp;" in 2026). The 2027 rates are assumptions until the 2027 social security order is published. Commissions are capitalised with their employer social security (EUR "&amp;TEXT((Capitalised_Costs!$C$15)/1000,"#,##0")&amp;"k in FY2026) and amortised over 48 months; Spanish GAAP charges them to profit or loss in the same systematic way (ICAC resolution of 10 February 2021, art. 21)."</f>
        <v>2027 pay carries the 3.5% pay review of this case, the intergenerational equity contribution rising to 1.0% and a maximum contribution base assumed at EUR 5,290 a month (EUR 5,101.20 in 2026). The 2027 rates are assumptions until the 2027 social security order is published. Commissions are capitalised with their employer social security (EUR 151k in FY2026) and amortised over 48 months; Spanish GAAP charges them to profit or loss in the same systematic way (ICAC resolution of 10 February 2021, art. 21).</v>
      </c>
    </row>
    <row r="28" customFormat="false" ht="15" hidden="false" customHeight="false" outlineLevel="0" collapsed="false">
      <c r="B28" s="40" t="s">
        <v>261</v>
      </c>
      <c r="C28" s="41"/>
      <c r="D28" s="41"/>
      <c r="E28" s="41"/>
      <c r="F28" s="41"/>
    </row>
    <row r="29" customFormat="false" ht="70.5" hidden="false" customHeight="true" outlineLevel="0" collapsed="false">
      <c r="B29" s="42" t="str">
        <f aca="false">"The 13 weeks from 12 September: opening cash EUR "&amp;TEXT((Cash_13W!C61)/1000,"#,##0")&amp;"k, receipts EUR "&amp;TEXT((Cash_13W!U44)/1000,"#,##0")&amp;"k, payments EUR "&amp;TEXT(ABS(Cash_13W!U58)/1000,"#,##0")&amp;"k, closing EUR "&amp;TEXT((Cash_13W!T62)/1000,"#,##0")&amp;"k on 11 December. The low point is EUR "&amp;TEXT((Cash_13W!C68)/1000,"#,##0")&amp;"k in the week ending "&amp;TEXT(Cash_13W!C69,"dd-mmm")&amp;", "&amp;IF(Cash_13W!C70&gt;=0,"EUR "&amp;TEXT((Cash_13W!C70)/1000,"#,##0")&amp;"k above the covenant floor","EUR "&amp;TEXT(ABS(Cash_13W!C70)/1000,"#,##0")&amp;"k below the covenant floor, a breach")&amp;". The pinch points are 20 October (third-quarter VAT, IRPF and rent withholding: EUR "&amp;TEXT(((VAT!$N$14+Tax!$N$10+Tax!$N$16))/1000,"#,##0")&amp;"k) and each month end, when salaries, social security and the loan instalment leave together. Closing cash on 11 December plus the rest of the December flows reconciles to the December balance sheet to the euro."</f>
        <v>The 13 weeks from 12 September: opening cash EUR 4,352k, receipts EUR 1,786k, payments EUR 2,173k, closing EUR 3,964k on 11 December. The low point is EUR 3,880k in the week ending 06-Nov, EUR 2,880k above the covenant floor. The pinch points are 20 October (third-quarter VAT, IRPF and rent withholding: EUR 316k) and each month end, when salaries, social security and the loan instalment leave together. Closing cash on 11 December plus the rest of the December flows reconciles to the December balance sheet to the euro.</v>
      </c>
    </row>
    <row r="30" customFormat="false" ht="97.5" hidden="false" customHeight="true" outlineLevel="0" collapsed="false">
      <c r="B30" s="42" t="str">
        <f aca="false">IF(Assumptions!$C$29=1,"FY2026 invoicing of EUR "&amp;TEXT((Assumptions!$C$28)/1000,"#,##0")&amp;"k passes the EUR 6,010,121 large-company threshold, so from 1 January 2027 the VAT, IRPF and rent withholding returns are monthly and invoice records go to the tax agency through the SII within four days. Every invoice issued, including"&amp;" each monthly Essentials card charge, has to flow from the billing system, so the SII connection has to be built and tested this quarter. Monthly returns take about EUR "&amp;TEXT(((Assumptions!$C$29*(VAT!$Z$13+VAT!$AA$13+Tax!$Z$9+Tax!$AA$9+Tax!$Z$15+Tax!$AA$15)))/1000,"#,##0")&amp;"k out of the December 2027 cash compared with quarterly returns, because October and November are paid before the year end.","FY2026 invoicing of EUR "&amp;TEXT((Assumptions!$C$28)/1000,"#,##0")&amp;"k stays below the EUR 6,010,121 large-company threshold, so the returns stay quarterly in 2027 and the SII is not required.")&amp;" No corporate income tax is due: the company brought EUR "&amp;TEXT((Assumptions!$C$33)/1000000,"0.00")&amp;"m of tax losses into 2026"&amp;IF(AND(PL!$C$48&lt;0,PL!$D$48&lt;0)," and makes a loss before tax in both years."," and they cover the profit in the forecast.")</f>
        <v>FY2026 invoicing of EUR 6,891k passes the EUR 6,010,121 large-company threshold, so from 1 January 2027 the VAT, IRPF and rent withholding returns are monthly and invoice records go to the tax agency through the SII within four days. Every invoice issued, including each monthly Essentials card charge, has to flow from the billing system, so the SII connection has to be built and tested this quarter. Monthly returns take about EUR 305k out of the December 2027 cash compared with quarterly returns, because October and November are paid before the year end. No corporate income tax is due: the company brought EUR 6.85m of tax losses into 2026 and makes a loss before tax in both years.</v>
      </c>
    </row>
    <row r="31" customFormat="false" ht="15" hidden="false" customHeight="false" outlineLevel="0" collapsed="false">
      <c r="B31" s="40" t="s">
        <v>262</v>
      </c>
      <c r="C31" s="41"/>
      <c r="D31" s="41"/>
      <c r="E31" s="41"/>
      <c r="F31" s="41"/>
    </row>
    <row r="32" customFormat="false" ht="111" hidden="false" customHeight="true" outlineLevel="0" collapsed="false">
      <c r="B32" s="42" t="str">
        <f aca="false">"Base: ARR EUR "&amp;TEXT((Scenarios!C10)/1000000,"0.00")&amp;"m at December 2027, FY2027 revenue EUR "&amp;TEXT((Scenarios!C12)/1000,"#,##0")&amp;"k and "&amp;IF(Scenarios!C15&lt;0,"an EBITDA loss of EUR "&amp;TEXT(ABS(Scenarios!C15)/1000,"#,##0")&amp;"k","EBITDA of EUR "&amp;TEXT((Scenarios!C15)/1000,"#,##0")&amp;"k")&amp;", lowest cash EUR "&amp;TEXT((Scenarios!C25)/1000,"#,##0")&amp;"k ("&amp;IF(Scenarios!C27&gt;=0,"EUR "&amp;TEXT((Scenarios!C27)/1000,"#,##0")&amp;"k above the covenant floor","EUR "&amp;TEXT(ABS(Scenarios!C27)/1000,"#,##0")&amp;"k below the covenant floor, a breach")&amp;"). Downside (a weaker market: "&amp;TEXT((1-Assumptions!$D$166),"0%")&amp;" fewer new Essentials and "&amp;TEXT((1-Assumptions!$D$167),"0%")&amp;" fewer new Professional customers, churn "&amp;TEXT((Assumptions!$D$169-1),"0%")&amp;" to "&amp;TEXT((Assumptions!$D$170-1),"0%")&amp;" higher, less expansion, no 2027 price increase or indexation, Enterprise deals two months later at lower win rates, Marvessa at "&amp;TEXT((Account_Register!$K$7),"0%")&amp;", customers "&amp;TEXT((Assumptions!$D$182),"0")&amp;" days slower; response: half the hiring plan, half of leavers replaced, "&amp;TEXT((Assumptions!$D$179),"0")&amp;" roles cut from April 2027, marketing programmes "&amp;TEXT((1-Assumptions!$D$181),"0%")&amp;" lower): ARR EUR "&amp;TEXT((Scenarios!D10)/1000000,"0.00")&amp;"m, "&amp;IF(Scenarios!D15&lt;0,"an EBITDA loss of EUR "&amp;TEXT(ABS(Scenarios!D15)/1000,"#,##0")&amp;"k","EBITDA of EUR "&amp;TEXT((Scenarios!D15)/1000,"#,##0")&amp;"k")&amp;", lowest cash EUR "&amp;TEXT((Scenarios!D25)/1000,"#,##0")&amp;"k ("&amp;IF(Scenarios!D27&gt;=0,"EUR "&amp;TEXT((Scenarios!D27)/1000,"#,##0")&amp;"k above the covenant floor","EUR "&amp;TEXT(ABS(Scenarios!D27)/1000,"#,##0")&amp;"k below the covenant floor, a breach")&amp;"). Upside: ARR EUR "&amp;TEXT((Scenarios!E10)/1000000,"0.00")&amp;"m, "&amp;IF(Scenarios!E15&lt;0,"an EBITDA loss of EUR "&amp;TEXT(ABS(Scenarios!E15)/1000,"#,##0")&amp;"k","EBITDA of EUR "&amp;TEXT((Scenarios!E15)/1000,"#,##0")&amp;"k")&amp;", lowest cash EUR "&amp;TEXT((Scenarios!E25)/1000,"#,##0")&amp;"k."</f>
        <v>Base: ARR EUR 8.52m at December 2027, FY2027 revenue EUR 8,029k and an EBITDA loss of EUR 139k, lowest cash EUR 2,041k (EUR 1,041k above the covenant floor). Downside (a weaker market: 30% fewer new Essentials and 35% fewer new Professional customers, churn 30% to 35% higher, less expansion, no 2027 price increase or indexation, Enterprise deals two months later at lower win rates, Marvessa at 50%, customers 15 days slower; response: half the hiring plan, half of leavers replaced, 8 roles cut from April 2027, marketing programmes 20% lower): ARR EUR 6.38m, an EBITDA loss of EUR 452k, lowest cash EUR 1,136k (EUR 136k above the covenant floor). Upside: ARR EUR 9.55m, EBITDA of EUR 380k, lowest cash EUR 2,784k.</v>
      </c>
    </row>
    <row r="33" customFormat="false" ht="57" hidden="false" customHeight="true" outlineLevel="0" collapsed="false">
      <c r="B33" s="42" t="str">
        <f aca="false">"The Downside is the case to prepare for: ARR stops growing, net revenue retention falls to "&amp;TEXT((Scenarios!D18),"0%")&amp;" and the covenant headroom is almost gone by December 2027 even with the response already in it. Triggers, reviewed monthly: Essentials new customers below 25 a month for two months; Professional customers leaving at their first renewal"&amp;" above 22%; Marvessa not renewed by 31 January; any Enterprise invoice more than 30 days overdue; cash headroom over the covenant floor below EUR 1.5m on the 13-week forecast."</f>
        <v>The Downside is the case to prepare for: ARR stops growing, net revenue retention falls to 80% and the covenant headroom is almost gone by December 2027 even with the response already in it. Triggers, reviewed monthly: Essentials new customers below 25 a month for two months; Professional customers leaving at their first renewal above 22%; Marvessa not renewed by 31 January; any Enterprise invoice more than 30 days overdue; cash headroom over the covenant floor below EUR 1.5m on the 13-week forecast.</v>
      </c>
    </row>
    <row r="34" customFormat="false" ht="15" hidden="false" customHeight="false" outlineLevel="0" collapsed="false">
      <c r="B34" s="40" t="s">
        <v>263</v>
      </c>
      <c r="C34" s="41"/>
      <c r="D34" s="41"/>
      <c r="E34" s="41"/>
      <c r="F34" s="41"/>
    </row>
    <row r="35" customFormat="false" ht="15" hidden="false" customHeight="false" outlineLevel="0" collapsed="false">
      <c r="B35" s="43" t="s">
        <v>264</v>
      </c>
      <c r="C35" s="44" t="s">
        <v>265</v>
      </c>
      <c r="D35" s="44" t="s">
        <v>266</v>
      </c>
      <c r="E35" s="44" t="s">
        <v>267</v>
      </c>
      <c r="F35" s="44" t="s">
        <v>268</v>
      </c>
    </row>
    <row r="36" customFormat="false" ht="57" hidden="false" customHeight="true" outlineLevel="0" collapsed="false">
      <c r="B36" s="42" t="str">
        <f aca="false">"Funding and covenant: the "&amp;Assumptions!$C$12&amp;" case ends 2027 "&amp;IF(Scenarios!F27&gt;=0,"EUR "&amp;TEXT((Scenarios!F27)/1000,"#,##0")&amp;"k above the covenant floor","EUR "&amp;TEXT(ABS(Scenarios!F27)/1000,"#,##0")&amp;"k below the covenant floor, a breach")&amp;IF(Unit_Economics!$AB$29&gt;0," and still burning"," and generating cash")&amp;IF(Assumptions!$C$11=2,"","; the Downside ends "&amp;IF(Scenarios!D27&gt;=0,"EUR "&amp;TEXT((Scenarios!D27)/1000,"#,##0")&amp;"k above the covenant floor","EUR "&amp;TEXT(ABS(Scenarios!D27)/1000,"#,##0")&amp;"k below the covenant floor, a breach"))</f>
        <v>Funding and covenant: the Base case ends 2027 EUR 1,041k above the covenant floor and still burning; the Downside ends EUR 136k above the covenant floor</v>
      </c>
      <c r="C36" s="45" t="n">
        <v>4</v>
      </c>
      <c r="D36" s="45" t="n">
        <v>5</v>
      </c>
      <c r="E36" s="46" t="n">
        <f aca="false">C36*D36</f>
        <v>20</v>
      </c>
      <c r="F36" s="47" t="s">
        <v>269</v>
      </c>
    </row>
    <row r="37" customFormat="false" ht="43.5" hidden="false" customHeight="true" outlineLevel="0" collapsed="false">
      <c r="B37" s="42" t="str">
        <f aca="false">"Essentials churn: "&amp;TEXT((AVERAGEIFS(ARR_Bridge!$E$68:$AB$68,Assumptions!$E$190:$AB$190,"A")),"0.0%")&amp;" of customers leave every month; Essentials net revenue retention "&amp;TEXT((INDEX(ARR_Bridge!$E$21:$AB$21,Assumptions!$C$10)),"0%")&amp;""</f>
        <v>Essentials churn: 2.9% of customers leave every month; Essentials net revenue retention 83%</v>
      </c>
      <c r="C37" s="45" t="n">
        <v>4</v>
      </c>
      <c r="D37" s="45" t="n">
        <v>3</v>
      </c>
      <c r="E37" s="46" t="n">
        <f aca="false">C37*D37</f>
        <v>12</v>
      </c>
      <c r="F37" s="47" t="s">
        <v>270</v>
      </c>
    </row>
    <row r="38" customFormat="false" ht="43.5" hidden="false" customHeight="true" outlineLevel="0" collapsed="false">
      <c r="B38" s="42" t="str">
        <f aca="false">"New business below plan: "&amp;TEXT((SUMIFS(ARR_Bridge!$E$18:$AB$18,Assumptions!$E$190:$AB$190,"A")),"0")&amp;" new Essentials customers against "&amp;TEXT((SUMIFS(Budget_FY26!$E$15:$P$15,Assumptions!$E$189:$P$189,"&lt;="&amp;Assumptions!$C$10)),"0")&amp;" budgeted while marketing spend ran EUR "&amp;TEXT(ABS((BvA!D33+BvA!D34))/1000,"#,##0")&amp;"k over"</f>
        <v>New business below plan: 238 new Essentials customers against 284 budgeted while marketing spend ran EUR 66k over</v>
      </c>
      <c r="C38" s="45" t="n">
        <v>4</v>
      </c>
      <c r="D38" s="45" t="n">
        <v>3</v>
      </c>
      <c r="E38" s="46" t="n">
        <f aca="false">C38*D38</f>
        <v>12</v>
      </c>
      <c r="F38" s="47" t="s">
        <v>271</v>
      </c>
    </row>
    <row r="39" customFormat="false" ht="43.5" hidden="false" customHeight="true" outlineLevel="0" collapsed="false">
      <c r="B39" s="42" t="str">
        <f aca="false">"Marvessa Hotels renewal in January 2027: EUR "&amp;TEXT(((12*Account_Register!$Q$7))/1000,"#,##0")&amp;"k of ARR; the group is reviewing its technology suppliers"</f>
        <v>Marvessa Hotels renewal in January 2027: EUR 176k of ARR; the group is reviewing its technology suppliers</v>
      </c>
      <c r="C39" s="45" t="n">
        <v>3</v>
      </c>
      <c r="D39" s="45" t="n">
        <v>3</v>
      </c>
      <c r="E39" s="46" t="n">
        <f aca="false">C39*D39</f>
        <v>9</v>
      </c>
      <c r="F39" s="47" t="s">
        <v>272</v>
      </c>
    </row>
    <row r="40" customFormat="false" ht="43.5" hidden="false" customHeight="true" outlineLevel="0" collapsed="false">
      <c r="B40" s="42" t="s">
        <v>273</v>
      </c>
      <c r="C40" s="45" t="n">
        <v>3</v>
      </c>
      <c r="D40" s="45" t="n">
        <v>3</v>
      </c>
      <c r="E40" s="46" t="n">
        <f aca="false">C40*D40</f>
        <v>9</v>
      </c>
      <c r="F40" s="47" t="s">
        <v>274</v>
      </c>
    </row>
    <row r="41" customFormat="false" ht="30" hidden="false" customHeight="true" outlineLevel="0" collapsed="false">
      <c r="B41" s="42" t="str">
        <f aca="false">"Professional renewals: "&amp;TEXT((Assumptions!$C$124),"0%")&amp;" of customers leave at the first renewal; churn at renewal EUR "&amp;TEXT(ABS(SUMIFS(ARR_Bridge!$E$29:$AB$29,Assumptions!$E$190:$AB$190,"A"))/1000,"#,##0")&amp;"k of MRR year to date against EUR "&amp;TEXT(ABS(SUMIFS(Budget_FY26!$E$23:$P$23,Assumptions!$E$189:$P$189,"&lt;="&amp;Assumptions!$C$10))/1000,"#,##0")&amp;"k budgeted"</f>
        <v>Professional renewals: 18% of customers leave at the first renewal; churn at renewal EUR 21k of MRR year to date against EUR 11k budgeted</v>
      </c>
      <c r="C41" s="45" t="n">
        <v>3</v>
      </c>
      <c r="D41" s="45" t="n">
        <v>3</v>
      </c>
      <c r="E41" s="46" t="n">
        <f aca="false">C41*D41</f>
        <v>9</v>
      </c>
      <c r="F41" s="47" t="s">
        <v>275</v>
      </c>
    </row>
    <row r="42" customFormat="false" ht="43.5" hidden="false" customHeight="true" outlineLevel="0" collapsed="false">
      <c r="B42" s="42" t="str">
        <f aca="false">"Brandelo Cafes: EUR "&amp;TEXT((Assumptions!$C$147)/1000,"#,##0")&amp;"k June renewal invoice disputed and unpaid"</f>
        <v>Brandelo Cafes: EUR 61k June renewal invoice disputed and unpaid</v>
      </c>
      <c r="C42" s="45" t="n">
        <v>3</v>
      </c>
      <c r="D42" s="45" t="n">
        <v>2</v>
      </c>
      <c r="E42" s="46" t="n">
        <f aca="false">C42*D42</f>
        <v>6</v>
      </c>
      <c r="F42" s="47" t="s">
        <v>276</v>
      </c>
    </row>
    <row r="43" customFormat="false" ht="43.5" hidden="false" customHeight="true" outlineLevel="0" collapsed="false">
      <c r="B43" s="42" t="str">
        <f aca="false">"Capitalised development: EUR "&amp;TEXT((PL!$C$26)/1000000,"0.00")&amp;"m in FY2026 rests on engineering time records meeting IAS 38.57; an auditor challenge moves it into the P&amp;L"</f>
        <v>Capitalised development: EUR 0.66m in FY2026 rests on engineering time records meeting IAS 38.57; an auditor challenge moves it into the P&amp;L</v>
      </c>
      <c r="C43" s="45" t="n">
        <v>2</v>
      </c>
      <c r="D43" s="45" t="n">
        <v>3</v>
      </c>
      <c r="E43" s="46" t="n">
        <f aca="false">C43*D43</f>
        <v>6</v>
      </c>
      <c r="F43" s="47" t="s">
        <v>277</v>
      </c>
    </row>
    <row r="44" customFormat="false" ht="30" hidden="false" customHeight="true" outlineLevel="0" collapsed="false">
      <c r="B44" s="42" t="s">
        <v>278</v>
      </c>
      <c r="C44" s="45" t="n">
        <v>4</v>
      </c>
      <c r="D44" s="45" t="n">
        <v>2</v>
      </c>
      <c r="E44" s="46" t="n">
        <f aca="false">C44*D44</f>
        <v>8</v>
      </c>
      <c r="F44" s="47" t="s">
        <v>279</v>
      </c>
    </row>
    <row r="45" customFormat="false" ht="30" hidden="false" customHeight="true" outlineLevel="0" collapsed="false">
      <c r="B45" s="42" t="s">
        <v>280</v>
      </c>
      <c r="C45" s="45" t="n">
        <v>2</v>
      </c>
      <c r="D45" s="45" t="n">
        <v>4</v>
      </c>
      <c r="E45" s="46" t="n">
        <f aca="false">C45*D45</f>
        <v>8</v>
      </c>
      <c r="F45" s="47" t="s">
        <v>281</v>
      </c>
    </row>
    <row r="47" customFormat="false" ht="15" hidden="false" customHeight="false" outlineLevel="0" collapsed="false">
      <c r="B47" s="40" t="s">
        <v>282</v>
      </c>
      <c r="C47" s="41"/>
      <c r="D47" s="41"/>
      <c r="E47" s="41"/>
      <c r="F47" s="41"/>
    </row>
    <row r="48" customFormat="false" ht="15" hidden="false" customHeight="false" outlineLevel="0" collapsed="false">
      <c r="B48" s="43" t="s">
        <v>283</v>
      </c>
      <c r="C48" s="44" t="s">
        <v>284</v>
      </c>
      <c r="D48" s="44" t="s">
        <v>285</v>
      </c>
      <c r="E48" s="44" t="s">
        <v>154</v>
      </c>
      <c r="F48" s="44" t="s">
        <v>286</v>
      </c>
    </row>
    <row r="49" customFormat="false" ht="30" hidden="false" customHeight="true" outlineLevel="0" collapsed="false">
      <c r="B49" s="42" t="s">
        <v>287</v>
      </c>
      <c r="C49" s="47" t="s">
        <v>288</v>
      </c>
      <c r="D49" s="48" t="n">
        <v>46356</v>
      </c>
      <c r="E49" s="45" t="s">
        <v>289</v>
      </c>
      <c r="F49" s="47" t="s">
        <v>290</v>
      </c>
    </row>
    <row r="50" customFormat="false" ht="43.5" hidden="false" customHeight="true" outlineLevel="0" collapsed="false">
      <c r="B50" s="42" t="s">
        <v>291</v>
      </c>
      <c r="C50" s="47" t="s">
        <v>292</v>
      </c>
      <c r="D50" s="48" t="n">
        <v>46371</v>
      </c>
      <c r="E50" s="45" t="s">
        <v>289</v>
      </c>
      <c r="F50" s="47" t="s">
        <v>293</v>
      </c>
    </row>
    <row r="51" customFormat="false" ht="30" hidden="false" customHeight="true" outlineLevel="0" collapsed="false">
      <c r="B51" s="42" t="s">
        <v>294</v>
      </c>
      <c r="C51" s="47" t="s">
        <v>295</v>
      </c>
      <c r="D51" s="48" t="n">
        <v>46341</v>
      </c>
      <c r="E51" s="45" t="s">
        <v>289</v>
      </c>
      <c r="F51" s="47" t="s">
        <v>296</v>
      </c>
    </row>
    <row r="52" customFormat="false" ht="30" hidden="false" customHeight="true" outlineLevel="0" collapsed="false">
      <c r="B52" s="42" t="s">
        <v>297</v>
      </c>
      <c r="C52" s="47" t="s">
        <v>298</v>
      </c>
      <c r="D52" s="48" t="n">
        <v>46326</v>
      </c>
      <c r="E52" s="45" t="s">
        <v>289</v>
      </c>
      <c r="F52" s="47" t="s">
        <v>299</v>
      </c>
    </row>
    <row r="53" customFormat="false" ht="30" hidden="false" customHeight="true" outlineLevel="0" collapsed="false">
      <c r="B53" s="42" t="s">
        <v>300</v>
      </c>
      <c r="C53" s="47" t="s">
        <v>301</v>
      </c>
      <c r="D53" s="48" t="n">
        <v>46310</v>
      </c>
      <c r="E53" s="45" t="s">
        <v>289</v>
      </c>
      <c r="F53" s="47" t="s">
        <v>302</v>
      </c>
    </row>
    <row r="54" customFormat="false" ht="43.5" hidden="false" customHeight="true" outlineLevel="0" collapsed="false">
      <c r="B54" s="42" t="s">
        <v>303</v>
      </c>
      <c r="C54" s="47" t="s">
        <v>304</v>
      </c>
      <c r="D54" s="48" t="n">
        <v>46326</v>
      </c>
      <c r="E54" s="45" t="s">
        <v>289</v>
      </c>
      <c r="F54" s="47" t="s">
        <v>305</v>
      </c>
    </row>
    <row r="55" customFormat="false" ht="30" hidden="false" customHeight="true" outlineLevel="0" collapsed="false">
      <c r="B55" s="42" t="s">
        <v>306</v>
      </c>
      <c r="C55" s="47" t="s">
        <v>307</v>
      </c>
      <c r="D55" s="48" t="n">
        <v>46295</v>
      </c>
      <c r="E55" s="45" t="s">
        <v>308</v>
      </c>
      <c r="F55" s="47" t="s">
        <v>309</v>
      </c>
    </row>
    <row r="56" customFormat="false" ht="30" hidden="false" customHeight="true" outlineLevel="0" collapsed="false">
      <c r="B56" s="42" t="s">
        <v>310</v>
      </c>
      <c r="C56" s="47" t="s">
        <v>311</v>
      </c>
      <c r="D56" s="48" t="n">
        <v>46387</v>
      </c>
      <c r="E56" s="45" t="s">
        <v>289</v>
      </c>
      <c r="F56" s="47" t="s">
        <v>312</v>
      </c>
    </row>
    <row r="57" customFormat="false" ht="30" hidden="false" customHeight="true" outlineLevel="0" collapsed="false">
      <c r="B57" s="42" t="s">
        <v>313</v>
      </c>
      <c r="C57" s="47" t="s">
        <v>314</v>
      </c>
      <c r="D57" s="48" t="n">
        <v>46310</v>
      </c>
      <c r="E57" s="45" t="s">
        <v>289</v>
      </c>
      <c r="F57" s="47" t="s">
        <v>315</v>
      </c>
    </row>
    <row r="59" customFormat="false" ht="15" hidden="false" customHeight="false" outlineLevel="0" collapsed="false">
      <c r="B59" s="40" t="s">
        <v>316</v>
      </c>
      <c r="C59" s="41"/>
      <c r="D59" s="41"/>
      <c r="E59" s="41"/>
      <c r="F59" s="41"/>
    </row>
    <row r="60" customFormat="false" ht="30" hidden="false" customHeight="true" outlineLevel="0" collapsed="false">
      <c r="B60" s="42" t="s">
        <v>317</v>
      </c>
    </row>
    <row r="61" customFormat="false" ht="16.5" hidden="false" customHeight="true" outlineLevel="0" collapsed="false">
      <c r="B61" s="42" t="s">
        <v>318</v>
      </c>
    </row>
    <row r="62" customFormat="false" ht="16.5" hidden="false" customHeight="true" outlineLevel="0" collapsed="false">
      <c r="B62" s="42" t="s">
        <v>319</v>
      </c>
    </row>
    <row r="63" customFormat="false" ht="16.5" hidden="false" customHeight="true" outlineLevel="0" collapsed="false">
      <c r="B63" s="42" t="s">
        <v>320</v>
      </c>
    </row>
    <row r="64" customFormat="false" ht="16.5" hidden="false" customHeight="true" outlineLevel="0" collapsed="false">
      <c r="B64" s="42" t="s">
        <v>321</v>
      </c>
    </row>
    <row r="65" customFormat="false" ht="30" hidden="false" customHeight="true" outlineLevel="0" collapsed="false">
      <c r="B65" s="42" t="s">
        <v>322</v>
      </c>
    </row>
    <row r="67" customFormat="false" ht="16.5" hidden="false" customHeight="true" outlineLevel="0" collapsed="false">
      <c r="B67" s="49" t="str">
        <f aca="false">"Prepared by BriQs Group for the board of "&amp;Assumptions!$C$6&amp;". Model status at the time of preparation: "&amp;Checks!E60&amp;"."</f>
        <v>Prepared by BriQs Group for the board of Turnoval Software S.L.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323</v>
      </c>
    </row>
    <row r="3" customFormat="false" ht="15" hidden="false" customHeight="false" outlineLevel="0" collapsed="false">
      <c r="A3" s="50" t="s">
        <v>324</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333</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59" t="s">
        <v>334</v>
      </c>
      <c r="B9" s="60" t="s">
        <v>45</v>
      </c>
      <c r="C9" s="61" t="n">
        <f aca="false">P9</f>
        <v>6888751.60711238</v>
      </c>
      <c r="D9" s="61" t="n">
        <f aca="false">AB9</f>
        <v>8520741.71198385</v>
      </c>
      <c r="E9" s="62" t="n">
        <f aca="false">ARR_Bridge!E61</f>
        <v>5672193.12</v>
      </c>
      <c r="F9" s="62" t="n">
        <f aca="false">ARR_Bridge!F61</f>
        <v>5655546</v>
      </c>
      <c r="G9" s="62" t="n">
        <f aca="false">ARR_Bridge!G61</f>
        <v>5786401.68</v>
      </c>
      <c r="H9" s="62" t="n">
        <f aca="false">ARR_Bridge!H61</f>
        <v>6026663.52</v>
      </c>
      <c r="I9" s="62" t="n">
        <f aca="false">ARR_Bridge!I61</f>
        <v>6077239.56</v>
      </c>
      <c r="J9" s="62" t="n">
        <f aca="false">ARR_Bridge!J61</f>
        <v>6166608.48</v>
      </c>
      <c r="K9" s="62" t="n">
        <f aca="false">ARR_Bridge!K61</f>
        <v>6351207.48</v>
      </c>
      <c r="L9" s="62" t="n">
        <f aca="false">ARR_Bridge!L61</f>
        <v>6401680.32</v>
      </c>
      <c r="M9" s="62" t="n">
        <f aca="false">ARR_Bridge!M61</f>
        <v>6509083.49026704</v>
      </c>
      <c r="N9" s="62" t="n">
        <f aca="false">ARR_Bridge!N61</f>
        <v>6618822.81906614</v>
      </c>
      <c r="O9" s="62" t="n">
        <f aca="false">ARR_Bridge!O61</f>
        <v>6762424.69802707</v>
      </c>
      <c r="P9" s="62" t="n">
        <f aca="false">ARR_Bridge!P61</f>
        <v>6888751.60711238</v>
      </c>
      <c r="Q9" s="62" t="n">
        <f aca="false">ARR_Bridge!Q61</f>
        <v>7131877.11721628</v>
      </c>
      <c r="R9" s="62" t="n">
        <f aca="false">ARR_Bridge!R61</f>
        <v>7267083.58639198</v>
      </c>
      <c r="S9" s="62" t="n">
        <f aca="false">ARR_Bridge!S61</f>
        <v>7401896.83522605</v>
      </c>
      <c r="T9" s="62" t="n">
        <f aca="false">ARR_Bridge!T61</f>
        <v>7531725.25946192</v>
      </c>
      <c r="U9" s="62" t="n">
        <f aca="false">ARR_Bridge!U61</f>
        <v>7625724.38690758</v>
      </c>
      <c r="V9" s="62" t="n">
        <f aca="false">ARR_Bridge!V61</f>
        <v>7755384.29292553</v>
      </c>
      <c r="W9" s="62" t="n">
        <f aca="false">ARR_Bridge!W61</f>
        <v>7871467.36645468</v>
      </c>
      <c r="X9" s="62" t="n">
        <f aca="false">ARR_Bridge!X61</f>
        <v>7965506.51506843</v>
      </c>
      <c r="Y9" s="62" t="n">
        <f aca="false">ARR_Bridge!Y61</f>
        <v>8113207.90438649</v>
      </c>
      <c r="Z9" s="62" t="n">
        <f aca="false">ARR_Bridge!Z61</f>
        <v>8263610.86904836</v>
      </c>
      <c r="AA9" s="62" t="n">
        <f aca="false">ARR_Bridge!AA61</f>
        <v>8402727.13518383</v>
      </c>
      <c r="AB9" s="62" t="n">
        <f aca="false">ARR_Bridge!AB61</f>
        <v>8520741.71198385</v>
      </c>
    </row>
    <row r="10" customFormat="false" ht="15" hidden="false" customHeight="false" outlineLevel="0" collapsed="false">
      <c r="A10" s="28" t="s">
        <v>335</v>
      </c>
      <c r="B10" s="63" t="s">
        <v>45</v>
      </c>
      <c r="C10" s="64" t="n">
        <f aca="false">P10</f>
        <v>2479449.23161651</v>
      </c>
      <c r="D10" s="64" t="n">
        <f aca="false">AB10</f>
        <v>3013416.05637972</v>
      </c>
      <c r="E10" s="65" t="n">
        <f aca="false">ARR_Bridge!E16</f>
        <v>2099738.88</v>
      </c>
      <c r="F10" s="65" t="n">
        <f aca="false">ARR_Bridge!F16</f>
        <v>2133542.28</v>
      </c>
      <c r="G10" s="65" t="n">
        <f aca="false">ARR_Bridge!G16</f>
        <v>2189301.6</v>
      </c>
      <c r="H10" s="65" t="n">
        <f aca="false">ARR_Bridge!H16</f>
        <v>2223196.32</v>
      </c>
      <c r="I10" s="65" t="n">
        <f aca="false">ARR_Bridge!I16</f>
        <v>2240040.84</v>
      </c>
      <c r="J10" s="65" t="n">
        <f aca="false">ARR_Bridge!J16</f>
        <v>2256128.04</v>
      </c>
      <c r="K10" s="65" t="n">
        <f aca="false">ARR_Bridge!K16</f>
        <v>2317104.96</v>
      </c>
      <c r="L10" s="65" t="n">
        <f aca="false">ARR_Bridge!L16</f>
        <v>2325518.4</v>
      </c>
      <c r="M10" s="65" t="n">
        <f aca="false">ARR_Bridge!M16</f>
        <v>2370126.50388</v>
      </c>
      <c r="N10" s="65" t="n">
        <f aca="false">ARR_Bridge!N16</f>
        <v>2416679.77991163</v>
      </c>
      <c r="O10" s="65" t="n">
        <f aca="false">ARR_Bridge!O16</f>
        <v>2454925.56487483</v>
      </c>
      <c r="P10" s="65" t="n">
        <f aca="false">ARR_Bridge!P16</f>
        <v>2479449.23161651</v>
      </c>
      <c r="Q10" s="65" t="n">
        <f aca="false">ARR_Bridge!Q16</f>
        <v>2658349.98505248</v>
      </c>
      <c r="R10" s="65" t="n">
        <f aca="false">ARR_Bridge!R16</f>
        <v>2701285.2120314</v>
      </c>
      <c r="S10" s="65" t="n">
        <f aca="false">ARR_Bridge!S16</f>
        <v>2741230.18318859</v>
      </c>
      <c r="T10" s="65" t="n">
        <f aca="false">ARR_Bridge!T16</f>
        <v>2776546.18386625</v>
      </c>
      <c r="U10" s="65" t="n">
        <f aca="false">ARR_Bridge!U16</f>
        <v>2811584.92543165</v>
      </c>
      <c r="V10" s="65" t="n">
        <f aca="false">ARR_Bridge!V16</f>
        <v>2842198.53962976</v>
      </c>
      <c r="W10" s="65" t="n">
        <f aca="false">ARR_Bridge!W16</f>
        <v>2864715.88777054</v>
      </c>
      <c r="X10" s="65" t="n">
        <f aca="false">ARR_Bridge!X16</f>
        <v>2873808.63058961</v>
      </c>
      <c r="Y10" s="65" t="n">
        <f aca="false">ARR_Bridge!Y16</f>
        <v>2914758.01998969</v>
      </c>
      <c r="Z10" s="65" t="n">
        <f aca="false">ARR_Bridge!Z16</f>
        <v>2958190.12089069</v>
      </c>
      <c r="AA10" s="65" t="n">
        <f aca="false">ARR_Bridge!AA16</f>
        <v>2992893.97225696</v>
      </c>
      <c r="AB10" s="65" t="n">
        <f aca="false">ARR_Bridge!AB16</f>
        <v>3013416.05637972</v>
      </c>
    </row>
    <row r="11" customFormat="false" ht="15" hidden="false" customHeight="false" outlineLevel="0" collapsed="false">
      <c r="A11" s="28" t="s">
        <v>336</v>
      </c>
      <c r="B11" s="63" t="s">
        <v>45</v>
      </c>
      <c r="C11" s="64" t="n">
        <f aca="false">P11</f>
        <v>2474028.19185139</v>
      </c>
      <c r="D11" s="64" t="n">
        <f aca="false">AB11</f>
        <v>3133454.26190107</v>
      </c>
      <c r="E11" s="65" t="n">
        <f aca="false">ARR_Bridge!E31</f>
        <v>1938453.12</v>
      </c>
      <c r="F11" s="65" t="n">
        <f aca="false">ARR_Bridge!F31</f>
        <v>1970662.44</v>
      </c>
      <c r="G11" s="65" t="n">
        <f aca="false">ARR_Bridge!G31</f>
        <v>2018101.08</v>
      </c>
      <c r="H11" s="65" t="n">
        <f aca="false">ARR_Bridge!H31</f>
        <v>2083287.6</v>
      </c>
      <c r="I11" s="65" t="n">
        <f aca="false">ARR_Bridge!I31</f>
        <v>2096854.32</v>
      </c>
      <c r="J11" s="65" t="n">
        <f aca="false">ARR_Bridge!J31</f>
        <v>2157434.16</v>
      </c>
      <c r="K11" s="65" t="n">
        <f aca="false">ARR_Bridge!K31</f>
        <v>2206367.52</v>
      </c>
      <c r="L11" s="65" t="n">
        <f aca="false">ARR_Bridge!L31</f>
        <v>2248426.92</v>
      </c>
      <c r="M11" s="65" t="n">
        <f aca="false">ARR_Bridge!M31</f>
        <v>2309241.37429536</v>
      </c>
      <c r="N11" s="65" t="n">
        <f aca="false">ARR_Bridge!N31</f>
        <v>2372801.25069323</v>
      </c>
      <c r="O11" s="65" t="n">
        <f aca="false">ARR_Bridge!O31</f>
        <v>2426224.94950777</v>
      </c>
      <c r="P11" s="65" t="n">
        <f aca="false">ARR_Bridge!P31</f>
        <v>2474028.19185139</v>
      </c>
      <c r="Q11" s="65" t="n">
        <f aca="false">ARR_Bridge!Q31</f>
        <v>2531158.98165333</v>
      </c>
      <c r="R11" s="65" t="n">
        <f aca="false">ARR_Bridge!R31</f>
        <v>2591030.2238501</v>
      </c>
      <c r="S11" s="65" t="n">
        <f aca="false">ARR_Bridge!S31</f>
        <v>2644777.79750517</v>
      </c>
      <c r="T11" s="65" t="n">
        <f aca="false">ARR_Bridge!T31</f>
        <v>2699059.76673379</v>
      </c>
      <c r="U11" s="65" t="n">
        <f aca="false">ARR_Bridge!U31</f>
        <v>2756210.59245692</v>
      </c>
      <c r="V11" s="65" t="n">
        <f aca="false">ARR_Bridge!V31</f>
        <v>2810336.57704429</v>
      </c>
      <c r="W11" s="65" t="n">
        <f aca="false">ARR_Bridge!W31</f>
        <v>2858140.2509805</v>
      </c>
      <c r="X11" s="65" t="n">
        <f aca="false">ARR_Bridge!X31</f>
        <v>2898986.65677518</v>
      </c>
      <c r="Y11" s="65" t="n">
        <f aca="false">ARR_Bridge!Y31</f>
        <v>2959598.11322175</v>
      </c>
      <c r="Z11" s="65" t="n">
        <f aca="false">ARR_Bridge!Z31</f>
        <v>3022841.3860644</v>
      </c>
      <c r="AA11" s="65" t="n">
        <f aca="false">ARR_Bridge!AA31</f>
        <v>3081542.7192238</v>
      </c>
      <c r="AB11" s="65" t="n">
        <f aca="false">ARR_Bridge!AB31</f>
        <v>3133454.26190107</v>
      </c>
    </row>
    <row r="12" customFormat="false" ht="15" hidden="false" customHeight="false" outlineLevel="0" collapsed="false">
      <c r="A12" s="28" t="s">
        <v>337</v>
      </c>
      <c r="B12" s="63" t="s">
        <v>45</v>
      </c>
      <c r="C12" s="64" t="n">
        <f aca="false">P12</f>
        <v>1935274.18364448</v>
      </c>
      <c r="D12" s="64" t="n">
        <f aca="false">AB12</f>
        <v>2373871.39370307</v>
      </c>
      <c r="E12" s="65" t="n">
        <f aca="false">ARR_Bridge!E46</f>
        <v>1634001.12</v>
      </c>
      <c r="F12" s="65" t="n">
        <f aca="false">ARR_Bridge!F46</f>
        <v>1551341.28</v>
      </c>
      <c r="G12" s="65" t="n">
        <f aca="false">ARR_Bridge!G46</f>
        <v>1578999</v>
      </c>
      <c r="H12" s="65" t="n">
        <f aca="false">ARR_Bridge!H46</f>
        <v>1720179.6</v>
      </c>
      <c r="I12" s="65" t="n">
        <f aca="false">ARR_Bridge!I46</f>
        <v>1740344.4</v>
      </c>
      <c r="J12" s="65" t="n">
        <f aca="false">ARR_Bridge!J46</f>
        <v>1753046.28</v>
      </c>
      <c r="K12" s="65" t="n">
        <f aca="false">ARR_Bridge!K46</f>
        <v>1827735</v>
      </c>
      <c r="L12" s="65" t="n">
        <f aca="false">ARR_Bridge!L46</f>
        <v>1827735</v>
      </c>
      <c r="M12" s="65" t="n">
        <f aca="false">ARR_Bridge!M46</f>
        <v>1829715.61209168</v>
      </c>
      <c r="N12" s="65" t="n">
        <f aca="false">ARR_Bridge!N46</f>
        <v>1829341.78846128</v>
      </c>
      <c r="O12" s="65" t="n">
        <f aca="false">ARR_Bridge!O46</f>
        <v>1881274.18364448</v>
      </c>
      <c r="P12" s="65" t="n">
        <f aca="false">ARR_Bridge!P46</f>
        <v>1935274.18364448</v>
      </c>
      <c r="Q12" s="65" t="n">
        <f aca="false">ARR_Bridge!Q46</f>
        <v>1942368.15051048</v>
      </c>
      <c r="R12" s="65" t="n">
        <f aca="false">ARR_Bridge!R46</f>
        <v>1974768.15051048</v>
      </c>
      <c r="S12" s="65" t="n">
        <f aca="false">ARR_Bridge!S46</f>
        <v>2015888.85453228</v>
      </c>
      <c r="T12" s="65" t="n">
        <f aca="false">ARR_Bridge!T46</f>
        <v>2056119.30886188</v>
      </c>
      <c r="U12" s="65" t="n">
        <f aca="false">ARR_Bridge!U46</f>
        <v>2057928.869019</v>
      </c>
      <c r="V12" s="65" t="n">
        <f aca="false">ARR_Bridge!V46</f>
        <v>2102849.17625148</v>
      </c>
      <c r="W12" s="65" t="n">
        <f aca="false">ARR_Bridge!W46</f>
        <v>2148611.22770364</v>
      </c>
      <c r="X12" s="65" t="n">
        <f aca="false">ARR_Bridge!X46</f>
        <v>2192711.22770364</v>
      </c>
      <c r="Y12" s="65" t="n">
        <f aca="false">ARR_Bridge!Y46</f>
        <v>2238851.77117505</v>
      </c>
      <c r="Z12" s="65" t="n">
        <f aca="false">ARR_Bridge!Z46</f>
        <v>2282579.36209327</v>
      </c>
      <c r="AA12" s="65" t="n">
        <f aca="false">ARR_Bridge!AA46</f>
        <v>2328290.44370307</v>
      </c>
      <c r="AB12" s="65" t="n">
        <f aca="false">ARR_Bridge!AB46</f>
        <v>2373871.39370307</v>
      </c>
    </row>
    <row r="13" customFormat="false" ht="15" hidden="false" customHeight="false" outlineLevel="0" collapsed="false">
      <c r="A13" s="28" t="s">
        <v>338</v>
      </c>
      <c r="B13" s="63" t="s">
        <v>45</v>
      </c>
      <c r="C13" s="64" t="n">
        <f aca="false">SUM(E13:P13)</f>
        <v>1454584.48711238</v>
      </c>
      <c r="D13" s="64" t="n">
        <f aca="false">SUM(Q13:AB13)</f>
        <v>1631990.10487147</v>
      </c>
      <c r="E13" s="65" t="n">
        <f aca="false">ARR_Bridge!E62</f>
        <v>238026</v>
      </c>
      <c r="F13" s="65" t="n">
        <f aca="false">ARR_Bridge!F62</f>
        <v>-16647.1200000001</v>
      </c>
      <c r="G13" s="65" t="n">
        <f aca="false">ARR_Bridge!G62</f>
        <v>130855.68</v>
      </c>
      <c r="H13" s="65" t="n">
        <f aca="false">ARR_Bridge!H62</f>
        <v>240261.84</v>
      </c>
      <c r="I13" s="65" t="n">
        <f aca="false">ARR_Bridge!I62</f>
        <v>50576.0400000005</v>
      </c>
      <c r="J13" s="65" t="n">
        <f aca="false">ARR_Bridge!J62</f>
        <v>89368.919999999</v>
      </c>
      <c r="K13" s="65" t="n">
        <f aca="false">ARR_Bridge!K62</f>
        <v>184599.000000001</v>
      </c>
      <c r="L13" s="65" t="n">
        <f aca="false">ARR_Bridge!L62</f>
        <v>50472.8399999994</v>
      </c>
      <c r="M13" s="65" t="n">
        <f aca="false">ARR_Bridge!M62</f>
        <v>107403.17026704</v>
      </c>
      <c r="N13" s="65" t="n">
        <f aca="false">ARR_Bridge!N62</f>
        <v>109739.328799099</v>
      </c>
      <c r="O13" s="65" t="n">
        <f aca="false">ARR_Bridge!O62</f>
        <v>143601.878960931</v>
      </c>
      <c r="P13" s="65" t="n">
        <f aca="false">ARR_Bridge!P62</f>
        <v>126326.909085314</v>
      </c>
      <c r="Q13" s="65" t="n">
        <f aca="false">ARR_Bridge!Q62</f>
        <v>243125.510103899</v>
      </c>
      <c r="R13" s="65" t="n">
        <f aca="false">ARR_Bridge!R62</f>
        <v>135206.4691757</v>
      </c>
      <c r="S13" s="65" t="n">
        <f aca="false">ARR_Bridge!S62</f>
        <v>134813.248834065</v>
      </c>
      <c r="T13" s="65" t="n">
        <f aca="false">ARR_Bridge!T62</f>
        <v>129828.424235871</v>
      </c>
      <c r="U13" s="65" t="n">
        <f aca="false">ARR_Bridge!U62</f>
        <v>93999.1274456573</v>
      </c>
      <c r="V13" s="65" t="n">
        <f aca="false">ARR_Bridge!V62</f>
        <v>129659.906017955</v>
      </c>
      <c r="W13" s="65" t="n">
        <f aca="false">ARR_Bridge!W62</f>
        <v>116083.073529149</v>
      </c>
      <c r="X13" s="65" t="n">
        <f aca="false">ARR_Bridge!X62</f>
        <v>94039.1486137519</v>
      </c>
      <c r="Y13" s="65" t="n">
        <f aca="false">ARR_Bridge!Y62</f>
        <v>147701.389318055</v>
      </c>
      <c r="Z13" s="65" t="n">
        <f aca="false">ARR_Bridge!Z62</f>
        <v>150402.964661879</v>
      </c>
      <c r="AA13" s="65" t="n">
        <f aca="false">ARR_Bridge!AA62</f>
        <v>139116.26613547</v>
      </c>
      <c r="AB13" s="65" t="n">
        <f aca="false">ARR_Bridge!AB62</f>
        <v>118014.576800019</v>
      </c>
    </row>
    <row r="14" customFormat="false" ht="15" hidden="false" customHeight="false" outlineLevel="0" collapsed="false">
      <c r="A14" s="28" t="s">
        <v>339</v>
      </c>
      <c r="B14" s="63" t="s">
        <v>45</v>
      </c>
      <c r="C14" s="66" t="n">
        <f aca="false">P14</f>
        <v>0.267673859671873</v>
      </c>
      <c r="D14" s="66" t="n">
        <f aca="false">AB14</f>
        <v>0.236906510489723</v>
      </c>
      <c r="E14" s="67" t="n">
        <f aca="false">ARR_Bridge!E65</f>
        <v>0.304912280856738</v>
      </c>
      <c r="F14" s="67" t="n">
        <f aca="false">ARR_Bridge!F65</f>
        <v>0.267490486872675</v>
      </c>
      <c r="G14" s="67" t="n">
        <f aca="false">ARR_Bridge!G65</f>
        <v>0.244623021038356</v>
      </c>
      <c r="H14" s="67" t="n">
        <f aca="false">ARR_Bridge!H65</f>
        <v>0.290665983824052</v>
      </c>
      <c r="I14" s="67" t="n">
        <f aca="false">ARR_Bridge!I65</f>
        <v>0.259516708852285</v>
      </c>
      <c r="J14" s="67" t="n">
        <f aca="false">ARR_Bridge!J65</f>
        <v>0.263854168096202</v>
      </c>
      <c r="K14" s="67" t="n">
        <f aca="false">ARR_Bridge!K65</f>
        <v>0.260040360446667</v>
      </c>
      <c r="L14" s="67" t="n">
        <f aca="false">ARR_Bridge!L65</f>
        <v>0.254502938058558</v>
      </c>
      <c r="M14" s="67" t="n">
        <f aca="false">ARR_Bridge!M65</f>
        <v>0.254689844854365</v>
      </c>
      <c r="N14" s="67" t="n">
        <f aca="false">ARR_Bridge!N65</f>
        <v>0.27095142784532</v>
      </c>
      <c r="O14" s="67" t="n">
        <f aca="false">ARR_Bridge!O65</f>
        <v>0.264034083805234</v>
      </c>
      <c r="P14" s="67" t="n">
        <f aca="false">ARR_Bridge!P65</f>
        <v>0.267673859671873</v>
      </c>
      <c r="Q14" s="67" t="n">
        <f aca="false">ARR_Bridge!Q65</f>
        <v>0.257340320813386</v>
      </c>
      <c r="R14" s="67" t="n">
        <f aca="false">ARR_Bridge!R65</f>
        <v>0.284948188272535</v>
      </c>
      <c r="S14" s="67" t="n">
        <f aca="false">ARR_Bridge!S65</f>
        <v>0.279188214812292</v>
      </c>
      <c r="T14" s="67" t="n">
        <f aca="false">ARR_Bridge!T65</f>
        <v>0.249733826099174</v>
      </c>
      <c r="U14" s="67" t="n">
        <f aca="false">ARR_Bridge!U65</f>
        <v>0.25480068896734</v>
      </c>
      <c r="V14" s="67" t="n">
        <f aca="false">ARR_Bridge!V65</f>
        <v>0.257641752038964</v>
      </c>
      <c r="W14" s="67" t="n">
        <f aca="false">ARR_Bridge!W65</f>
        <v>0.239365489356471</v>
      </c>
      <c r="X14" s="67" t="n">
        <f aca="false">ARR_Bridge!X65</f>
        <v>0.244283706292355</v>
      </c>
      <c r="Y14" s="67" t="n">
        <f aca="false">ARR_Bridge!Y65</f>
        <v>0.246443975794453</v>
      </c>
      <c r="Z14" s="67" t="n">
        <f aca="false">ARR_Bridge!Z65</f>
        <v>0.248501598387595</v>
      </c>
      <c r="AA14" s="67" t="n">
        <f aca="false">ARR_Bridge!AA65</f>
        <v>0.242561286876188</v>
      </c>
      <c r="AB14" s="67" t="n">
        <f aca="false">ARR_Bridge!AB65</f>
        <v>0.236906510489723</v>
      </c>
    </row>
    <row r="15" customFormat="false" ht="15" hidden="false" customHeight="false" outlineLevel="0" collapsed="false">
      <c r="A15" s="28" t="s">
        <v>340</v>
      </c>
      <c r="B15" s="63" t="s">
        <v>45</v>
      </c>
      <c r="C15" s="68" t="n">
        <f aca="false">P15</f>
        <v>1028.4339742658</v>
      </c>
      <c r="D15" s="68" t="n">
        <f aca="false">AB15</f>
        <v>1146.47839414742</v>
      </c>
      <c r="E15" s="69" t="n">
        <f aca="false">ARR_Bridge!E63</f>
        <v>909</v>
      </c>
      <c r="F15" s="69" t="n">
        <f aca="false">ARR_Bridge!F63</f>
        <v>919</v>
      </c>
      <c r="G15" s="69" t="n">
        <f aca="false">ARR_Bridge!G63</f>
        <v>941</v>
      </c>
      <c r="H15" s="69" t="n">
        <f aca="false">ARR_Bridge!H63</f>
        <v>954</v>
      </c>
      <c r="I15" s="69" t="n">
        <f aca="false">ARR_Bridge!I63</f>
        <v>951</v>
      </c>
      <c r="J15" s="69" t="n">
        <f aca="false">ARR_Bridge!J63</f>
        <v>954</v>
      </c>
      <c r="K15" s="69" t="n">
        <f aca="false">ARR_Bridge!K63</f>
        <v>979</v>
      </c>
      <c r="L15" s="69" t="n">
        <f aca="false">ARR_Bridge!L63</f>
        <v>977</v>
      </c>
      <c r="M15" s="69" t="n">
        <f aca="false">ARR_Bridge!M63</f>
        <v>992.40731</v>
      </c>
      <c r="N15" s="69" t="n">
        <f aca="false">ARR_Bridge!N63</f>
        <v>1009.025752</v>
      </c>
      <c r="O15" s="69" t="n">
        <f aca="false">ARR_Bridge!O63</f>
        <v>1021.62593162</v>
      </c>
      <c r="P15" s="69" t="n">
        <f aca="false">ARR_Bridge!P63</f>
        <v>1028.4339742658</v>
      </c>
      <c r="Q15" s="69" t="n">
        <f aca="false">ARR_Bridge!Q63</f>
        <v>1045.61913745085</v>
      </c>
      <c r="R15" s="69" t="n">
        <f aca="false">ARR_Bridge!R63</f>
        <v>1059.75013074305</v>
      </c>
      <c r="S15" s="69" t="n">
        <f aca="false">ARR_Bridge!S63</f>
        <v>1071.55216230711</v>
      </c>
      <c r="T15" s="69" t="n">
        <f aca="false">ARR_Bridge!T63</f>
        <v>1081.59858233924</v>
      </c>
      <c r="U15" s="69" t="n">
        <f aca="false">ARR_Bridge!U63</f>
        <v>1091.509010406</v>
      </c>
      <c r="V15" s="69" t="n">
        <f aca="false">ARR_Bridge!V63</f>
        <v>1100.12763523406</v>
      </c>
      <c r="W15" s="69" t="n">
        <f aca="false">ARR_Bridge!W63</f>
        <v>1104.77714485078</v>
      </c>
      <c r="X15" s="69" t="n">
        <f aca="false">ARR_Bridge!X63</f>
        <v>1104.27939200198</v>
      </c>
      <c r="Y15" s="69" t="n">
        <f aca="false">ARR_Bridge!Y63</f>
        <v>1117.29998916642</v>
      </c>
      <c r="Z15" s="69" t="n">
        <f aca="false">ARR_Bridge!Z63</f>
        <v>1131.66294858739</v>
      </c>
      <c r="AA15" s="69" t="n">
        <f aca="false">ARR_Bridge!AA63</f>
        <v>1141.90837207092</v>
      </c>
      <c r="AB15" s="69" t="n">
        <f aca="false">ARR_Bridge!AB63</f>
        <v>1146.47839414742</v>
      </c>
    </row>
    <row r="16" customFormat="false" ht="15" hidden="false" customHeight="false" outlineLevel="0" collapsed="false">
      <c r="A16" s="28" t="s">
        <v>341</v>
      </c>
      <c r="B16" s="63" t="s">
        <v>45</v>
      </c>
      <c r="C16" s="64" t="n">
        <f aca="false">P16</f>
        <v>558.191044141513</v>
      </c>
      <c r="D16" s="64" t="n">
        <f aca="false">AB16</f>
        <v>619.34164041532</v>
      </c>
      <c r="E16" s="65" t="n">
        <f aca="false">ARR_Bridge!E64</f>
        <v>520.00303630363</v>
      </c>
      <c r="F16" s="65" t="n">
        <f aca="false">ARR_Bridge!F64</f>
        <v>512.835146898803</v>
      </c>
      <c r="G16" s="65" t="n">
        <f aca="false">ARR_Bridge!G64</f>
        <v>512.433730074389</v>
      </c>
      <c r="H16" s="65" t="n">
        <f aca="false">ARR_Bridge!H64</f>
        <v>526.438113207547</v>
      </c>
      <c r="I16" s="65" t="n">
        <f aca="false">ARR_Bridge!I64</f>
        <v>532.530630914827</v>
      </c>
      <c r="J16" s="65" t="n">
        <f aca="false">ARR_Bridge!J64</f>
        <v>538.66251572327</v>
      </c>
      <c r="K16" s="65" t="n">
        <f aca="false">ARR_Bridge!K64</f>
        <v>540.620316649643</v>
      </c>
      <c r="L16" s="65" t="n">
        <f aca="false">ARR_Bridge!L64</f>
        <v>546.03209825998</v>
      </c>
      <c r="M16" s="65" t="n">
        <f aca="false">ARR_Bridge!M64</f>
        <v>546.573588004829</v>
      </c>
      <c r="N16" s="65" t="n">
        <f aca="false">ARR_Bridge!N64</f>
        <v>546.634778311894</v>
      </c>
      <c r="O16" s="65" t="n">
        <f aca="false">ARR_Bridge!O64</f>
        <v>551.606389443006</v>
      </c>
      <c r="P16" s="65" t="n">
        <f aca="false">ARR_Bridge!P64</f>
        <v>558.191044141513</v>
      </c>
      <c r="Q16" s="65" t="n">
        <f aca="false">ARR_Bridge!Q64</f>
        <v>568.393473124715</v>
      </c>
      <c r="R16" s="65" t="n">
        <f aca="false">ARR_Bridge!R64</f>
        <v>571.44630729263</v>
      </c>
      <c r="S16" s="65" t="n">
        <f aca="false">ARR_Bridge!S64</f>
        <v>575.636686636683</v>
      </c>
      <c r="T16" s="65" t="n">
        <f aca="false">ARR_Bridge!T64</f>
        <v>580.292709208608</v>
      </c>
      <c r="U16" s="65" t="n">
        <f aca="false">ARR_Bridge!U64</f>
        <v>582.200445606881</v>
      </c>
      <c r="V16" s="65" t="n">
        <f aca="false">ARR_Bridge!V64</f>
        <v>587.460948813415</v>
      </c>
      <c r="W16" s="65" t="n">
        <f aca="false">ARR_Bridge!W64</f>
        <v>593.744735694927</v>
      </c>
      <c r="X16" s="65" t="n">
        <f aca="false">ARR_Bridge!X64</f>
        <v>601.108935290036</v>
      </c>
      <c r="Y16" s="65" t="n">
        <f aca="false">ARR_Bridge!Y64</f>
        <v>605.120079884089</v>
      </c>
      <c r="Z16" s="65" t="n">
        <f aca="false">ARR_Bridge!Z64</f>
        <v>608.515318052039</v>
      </c>
      <c r="AA16" s="65" t="n">
        <f aca="false">ARR_Bridge!AA64</f>
        <v>613.2079231501</v>
      </c>
      <c r="AB16" s="65" t="n">
        <f aca="false">ARR_Bridge!AB64</f>
        <v>619.34164041532</v>
      </c>
    </row>
    <row r="17" customFormat="false" ht="15" hidden="false" customHeight="false" outlineLevel="0" collapsed="false">
      <c r="A17" s="28" t="s">
        <v>9</v>
      </c>
      <c r="B17" s="63" t="s">
        <v>45</v>
      </c>
      <c r="C17" s="66" t="n">
        <f aca="false">P17</f>
        <v>0.922834853027557</v>
      </c>
      <c r="D17" s="66" t="n">
        <f aca="false">AB17</f>
        <v>0.948492162968659</v>
      </c>
      <c r="E17" s="67" t="n">
        <f aca="false">ARR_Bridge!E66</f>
        <v>0.963638219295981</v>
      </c>
      <c r="F17" s="67" t="n">
        <f aca="false">ARR_Bridge!F66</f>
        <v>0.933157916138608</v>
      </c>
      <c r="G17" s="67" t="n">
        <f aca="false">ARR_Bridge!G66</f>
        <v>0.923455267636977</v>
      </c>
      <c r="H17" s="67" t="n">
        <f aca="false">ARR_Bridge!H66</f>
        <v>0.931787199198927</v>
      </c>
      <c r="I17" s="67" t="n">
        <f aca="false">ARR_Bridge!I66</f>
        <v>0.928964391531547</v>
      </c>
      <c r="J17" s="67" t="n">
        <f aca="false">ARR_Bridge!J66</f>
        <v>0.924762237274826</v>
      </c>
      <c r="K17" s="67" t="n">
        <f aca="false">ARR_Bridge!K66</f>
        <v>0.928759395386082</v>
      </c>
      <c r="L17" s="67" t="n">
        <f aca="false">ARR_Bridge!L66</f>
        <v>0.92439209419095</v>
      </c>
      <c r="M17" s="67" t="n">
        <f aca="false">ARR_Bridge!M66</f>
        <v>0.922210764924804</v>
      </c>
      <c r="N17" s="67" t="n">
        <f aca="false">ARR_Bridge!N66</f>
        <v>0.926052560305454</v>
      </c>
      <c r="O17" s="67" t="n">
        <f aca="false">ARR_Bridge!O66</f>
        <v>0.924685143730504</v>
      </c>
      <c r="P17" s="67" t="n">
        <f aca="false">ARR_Bridge!P66</f>
        <v>0.922834853027557</v>
      </c>
      <c r="Q17" s="67" t="n">
        <f aca="false">ARR_Bridge!Q66</f>
        <v>0.923981713663212</v>
      </c>
      <c r="R17" s="67" t="n">
        <f aca="false">ARR_Bridge!R66</f>
        <v>0.943776782212006</v>
      </c>
      <c r="S17" s="67" t="n">
        <f aca="false">ARR_Bridge!S66</f>
        <v>0.944795045380611</v>
      </c>
      <c r="T17" s="67" t="n">
        <f aca="false">ARR_Bridge!T66</f>
        <v>0.944918627168008</v>
      </c>
      <c r="U17" s="67" t="n">
        <f aca="false">ARR_Bridge!U66</f>
        <v>0.945937958846495</v>
      </c>
      <c r="V17" s="67" t="n">
        <f aca="false">ARR_Bridge!V66</f>
        <v>0.947193226482497</v>
      </c>
      <c r="W17" s="67" t="n">
        <f aca="false">ARR_Bridge!W66</f>
        <v>0.945095320057892</v>
      </c>
      <c r="X17" s="67" t="n">
        <f aca="false">ARR_Bridge!X66</f>
        <v>0.948858209253478</v>
      </c>
      <c r="Y17" s="67" t="n">
        <f aca="false">ARR_Bridge!Y66</f>
        <v>0.948097366104503</v>
      </c>
      <c r="Z17" s="67" t="n">
        <f aca="false">ARR_Bridge!Z66</f>
        <v>0.947397871478768</v>
      </c>
      <c r="AA17" s="67" t="n">
        <f aca="false">ARR_Bridge!AA66</f>
        <v>0.948068310667371</v>
      </c>
      <c r="AB17" s="67" t="n">
        <f aca="false">ARR_Bridge!AB66</f>
        <v>0.948492162968659</v>
      </c>
    </row>
    <row r="18" customFormat="false" ht="15" hidden="false" customHeight="false" outlineLevel="0" collapsed="false">
      <c r="A18" s="28" t="s">
        <v>342</v>
      </c>
      <c r="B18" s="63" t="s">
        <v>45</v>
      </c>
      <c r="C18" s="66" t="n">
        <f aca="false">P18</f>
        <v>0.775953092785899</v>
      </c>
      <c r="D18" s="66" t="n">
        <f aca="false">AB18</f>
        <v>0.803017500054859</v>
      </c>
      <c r="E18" s="67" t="n">
        <f aca="false">ARR_Bridge!E67</f>
        <v>0.815573005203055</v>
      </c>
      <c r="F18" s="67" t="n">
        <f aca="false">ARR_Bridge!F67</f>
        <v>0.789413521469122</v>
      </c>
      <c r="G18" s="67" t="n">
        <f aca="false">ARR_Bridge!G67</f>
        <v>0.781530677315805</v>
      </c>
      <c r="H18" s="67" t="n">
        <f aca="false">ARR_Bridge!H67</f>
        <v>0.787418438076672</v>
      </c>
      <c r="I18" s="67" t="n">
        <f aca="false">ARR_Bridge!I67</f>
        <v>0.783213134953572</v>
      </c>
      <c r="J18" s="67" t="n">
        <f aca="false">ARR_Bridge!J67</f>
        <v>0.778130876003816</v>
      </c>
      <c r="K18" s="67" t="n">
        <f aca="false">ARR_Bridge!K67</f>
        <v>0.783611225551284</v>
      </c>
      <c r="L18" s="67" t="n">
        <f aca="false">ARR_Bridge!L67</f>
        <v>0.778307279443373</v>
      </c>
      <c r="M18" s="67" t="n">
        <f aca="false">ARR_Bridge!M67</f>
        <v>0.776921224273213</v>
      </c>
      <c r="N18" s="67" t="n">
        <f aca="false">ARR_Bridge!N67</f>
        <v>0.779104000257139</v>
      </c>
      <c r="O18" s="67" t="n">
        <f aca="false">ARR_Bridge!O67</f>
        <v>0.778574859315625</v>
      </c>
      <c r="P18" s="67" t="n">
        <f aca="false">ARR_Bridge!P67</f>
        <v>0.775953092785899</v>
      </c>
      <c r="Q18" s="67" t="n">
        <f aca="false">ARR_Bridge!Q67</f>
        <v>0.776032103846483</v>
      </c>
      <c r="R18" s="67" t="n">
        <f aca="false">ARR_Bridge!R67</f>
        <v>0.792852299896893</v>
      </c>
      <c r="S18" s="67" t="n">
        <f aca="false">ARR_Bridge!S67</f>
        <v>0.795305570853487</v>
      </c>
      <c r="T18" s="67" t="n">
        <f aca="false">ARR_Bridge!T67</f>
        <v>0.796973522614146</v>
      </c>
      <c r="U18" s="67" t="n">
        <f aca="false">ARR_Bridge!U67</f>
        <v>0.798697965084041</v>
      </c>
      <c r="V18" s="67" t="n">
        <f aca="false">ARR_Bridge!V67</f>
        <v>0.800744195920061</v>
      </c>
      <c r="W18" s="67" t="n">
        <f aca="false">ARR_Bridge!W67</f>
        <v>0.799458228165089</v>
      </c>
      <c r="X18" s="67" t="n">
        <f aca="false">ARR_Bridge!X67</f>
        <v>0.80210979891525</v>
      </c>
      <c r="Y18" s="67" t="n">
        <f aca="false">ARR_Bridge!Y67</f>
        <v>0.801639759969517</v>
      </c>
      <c r="Z18" s="67" t="n">
        <f aca="false">ARR_Bridge!Z67</f>
        <v>0.801296969528037</v>
      </c>
      <c r="AA18" s="67" t="n">
        <f aca="false">ARR_Bridge!AA67</f>
        <v>0.802423317908727</v>
      </c>
      <c r="AB18" s="67" t="n">
        <f aca="false">ARR_Bridge!AB67</f>
        <v>0.803017500054859</v>
      </c>
    </row>
    <row r="19" customFormat="false" ht="15" hidden="false" customHeight="false" outlineLevel="0" collapsed="false">
      <c r="A19" s="28" t="s">
        <v>343</v>
      </c>
      <c r="B19" s="63" t="s">
        <v>45</v>
      </c>
      <c r="C19" s="66" t="n">
        <f aca="false">P19</f>
        <v>0.809584609154602</v>
      </c>
      <c r="D19" s="66" t="n">
        <f aca="false">AB19</f>
        <v>0.836663251631589</v>
      </c>
      <c r="E19" s="67" t="n">
        <f aca="false">ARR_Bridge!E21</f>
        <v>0.874811017618471</v>
      </c>
      <c r="F19" s="67" t="n">
        <f aca="false">ARR_Bridge!F21</f>
        <v>0.863370866105576</v>
      </c>
      <c r="G19" s="67" t="n">
        <f aca="false">ARR_Bridge!G21</f>
        <v>0.857269458998617</v>
      </c>
      <c r="H19" s="67" t="n">
        <f aca="false">ARR_Bridge!H21</f>
        <v>0.849977384804855</v>
      </c>
      <c r="I19" s="67" t="n">
        <f aca="false">ARR_Bridge!I21</f>
        <v>0.845431934665797</v>
      </c>
      <c r="J19" s="67" t="n">
        <f aca="false">ARR_Bridge!J21</f>
        <v>0.825823961047913</v>
      </c>
      <c r="K19" s="67" t="n">
        <f aca="false">ARR_Bridge!K21</f>
        <v>0.834658570231845</v>
      </c>
      <c r="L19" s="67" t="n">
        <f aca="false">ARR_Bridge!L21</f>
        <v>0.829892738590793</v>
      </c>
      <c r="M19" s="67" t="n">
        <f aca="false">ARR_Bridge!M21</f>
        <v>0.820494615568648</v>
      </c>
      <c r="N19" s="67" t="n">
        <f aca="false">ARR_Bridge!N21</f>
        <v>0.822364233968076</v>
      </c>
      <c r="O19" s="67" t="n">
        <f aca="false">ARR_Bridge!O21</f>
        <v>0.815730872543191</v>
      </c>
      <c r="P19" s="67" t="n">
        <f aca="false">ARR_Bridge!P21</f>
        <v>0.809584609154602</v>
      </c>
      <c r="Q19" s="67" t="n">
        <f aca="false">ARR_Bridge!Q21</f>
        <v>0.834404793824876</v>
      </c>
      <c r="R19" s="67" t="n">
        <f aca="false">ARR_Bridge!R21</f>
        <v>0.840987550352835</v>
      </c>
      <c r="S19" s="67" t="n">
        <f aca="false">ARR_Bridge!S21</f>
        <v>0.838002055992921</v>
      </c>
      <c r="T19" s="67" t="n">
        <f aca="false">ARR_Bridge!T21</f>
        <v>0.836991029324054</v>
      </c>
      <c r="U19" s="67" t="n">
        <f aca="false">ARR_Bridge!U21</f>
        <v>0.835221437941128</v>
      </c>
      <c r="V19" s="67" t="n">
        <f aca="false">ARR_Bridge!V21</f>
        <v>0.844942841821052</v>
      </c>
      <c r="W19" s="67" t="n">
        <f aca="false">ARR_Bridge!W21</f>
        <v>0.838079660910373</v>
      </c>
      <c r="X19" s="67" t="n">
        <f aca="false">ARR_Bridge!X21</f>
        <v>0.838586733946982</v>
      </c>
      <c r="Y19" s="67" t="n">
        <f aca="false">ARR_Bridge!Y21</f>
        <v>0.838368871592641</v>
      </c>
      <c r="Z19" s="67" t="n">
        <f aca="false">ARR_Bridge!Z21</f>
        <v>0.838449618329155</v>
      </c>
      <c r="AA19" s="67" t="n">
        <f aca="false">ARR_Bridge!AA21</f>
        <v>0.837962485009949</v>
      </c>
      <c r="AB19" s="67" t="n">
        <f aca="false">ARR_Bridge!AB21</f>
        <v>0.836663251631589</v>
      </c>
    </row>
    <row r="20" customFormat="false" ht="15" hidden="false" customHeight="false" outlineLevel="0" collapsed="false">
      <c r="A20" s="28" t="s">
        <v>344</v>
      </c>
      <c r="B20" s="63" t="s">
        <v>45</v>
      </c>
      <c r="C20" s="66" t="n">
        <f aca="false">P20</f>
        <v>0.967711658938174</v>
      </c>
      <c r="D20" s="66" t="n">
        <f aca="false">AB20</f>
        <v>1.02473830744987</v>
      </c>
      <c r="E20" s="67" t="n">
        <f aca="false">ARR_Bridge!E36</f>
        <v>0.988685161413018</v>
      </c>
      <c r="F20" s="67" t="n">
        <f aca="false">ARR_Bridge!F36</f>
        <v>0.974670636259743</v>
      </c>
      <c r="G20" s="67" t="n">
        <f aca="false">ARR_Bridge!G36</f>
        <v>0.943015667236409</v>
      </c>
      <c r="H20" s="67" t="n">
        <f aca="false">ARR_Bridge!H36</f>
        <v>0.946795471608846</v>
      </c>
      <c r="I20" s="67" t="n">
        <f aca="false">ARR_Bridge!I36</f>
        <v>0.933828973272214</v>
      </c>
      <c r="J20" s="67" t="n">
        <f aca="false">ARR_Bridge!J36</f>
        <v>0.94430295618394</v>
      </c>
      <c r="K20" s="67" t="n">
        <f aca="false">ARR_Bridge!K36</f>
        <v>0.942947625851835</v>
      </c>
      <c r="L20" s="67" t="n">
        <f aca="false">ARR_Bridge!L36</f>
        <v>0.935915821459215</v>
      </c>
      <c r="M20" s="67" t="n">
        <f aca="false">ARR_Bridge!M36</f>
        <v>0.94406549302226</v>
      </c>
      <c r="N20" s="67" t="n">
        <f aca="false">ARR_Bridge!N36</f>
        <v>0.958149347379361</v>
      </c>
      <c r="O20" s="67" t="n">
        <f aca="false">ARR_Bridge!O36</f>
        <v>0.964726882451717</v>
      </c>
      <c r="P20" s="67" t="n">
        <f aca="false">ARR_Bridge!P36</f>
        <v>0.967711658938174</v>
      </c>
      <c r="Q20" s="67" t="n">
        <f aca="false">ARR_Bridge!Q36</f>
        <v>0.977657061669526</v>
      </c>
      <c r="R20" s="67" t="n">
        <f aca="false">ARR_Bridge!R36</f>
        <v>0.989242155236946</v>
      </c>
      <c r="S20" s="67" t="n">
        <f aca="false">ARR_Bridge!S36</f>
        <v>1.00828227163189</v>
      </c>
      <c r="T20" s="67" t="n">
        <f aca="false">ARR_Bridge!T36</f>
        <v>1.00522459529533</v>
      </c>
      <c r="U20" s="67" t="n">
        <f aca="false">ARR_Bridge!U36</f>
        <v>1.01877014725416</v>
      </c>
      <c r="V20" s="67" t="n">
        <f aca="false">ARR_Bridge!V36</f>
        <v>1.0161614242468</v>
      </c>
      <c r="W20" s="67" t="n">
        <f aca="false">ARR_Bridge!W36</f>
        <v>1.01839184941886</v>
      </c>
      <c r="X20" s="67" t="n">
        <f aca="false">ARR_Bridge!X36</f>
        <v>1.02761036909982</v>
      </c>
      <c r="Y20" s="67" t="n">
        <f aca="false">ARR_Bridge!Y36</f>
        <v>1.02567574159911</v>
      </c>
      <c r="Z20" s="67" t="n">
        <f aca="false">ARR_Bridge!Z36</f>
        <v>1.02372461603547</v>
      </c>
      <c r="AA20" s="67" t="n">
        <f aca="false">ARR_Bridge!AA36</f>
        <v>1.02437104581668</v>
      </c>
      <c r="AB20" s="67" t="n">
        <f aca="false">ARR_Bridge!AB36</f>
        <v>1.02473830744987</v>
      </c>
    </row>
    <row r="21" customFormat="false" ht="15" hidden="false" customHeight="false" outlineLevel="0" collapsed="false">
      <c r="A21" s="28" t="s">
        <v>345</v>
      </c>
      <c r="B21" s="63" t="s">
        <v>45</v>
      </c>
      <c r="C21" s="66" t="n">
        <f aca="false">P21</f>
        <v>1.00989314739018</v>
      </c>
      <c r="D21" s="66" t="n">
        <f aca="false">AB21</f>
        <v>0.994293940344611</v>
      </c>
      <c r="E21" s="67" t="n">
        <f aca="false">ARR_Bridge!E51</f>
        <v>1.04076269511954</v>
      </c>
      <c r="F21" s="67" t="n">
        <f aca="false">ARR_Bridge!F51</f>
        <v>0.972457727204933</v>
      </c>
      <c r="G21" s="67" t="n">
        <f aca="false">ARR_Bridge!G51</f>
        <v>0.981399223869515</v>
      </c>
      <c r="H21" s="67" t="n">
        <f aca="false">ARR_Bridge!H51</f>
        <v>1.01939085869759</v>
      </c>
      <c r="I21" s="67" t="n">
        <f aca="false">ARR_Bridge!I51</f>
        <v>1.02877419987018</v>
      </c>
      <c r="J21" s="67" t="n">
        <f aca="false">ARR_Bridge!J51</f>
        <v>1.02876768658465</v>
      </c>
      <c r="K21" s="67" t="n">
        <f aca="false">ARR_Bridge!K51</f>
        <v>1.03113217359756</v>
      </c>
      <c r="L21" s="67" t="n">
        <f aca="false">ARR_Bridge!L51</f>
        <v>1.03113217359756</v>
      </c>
      <c r="M21" s="67" t="n">
        <f aca="false">ARR_Bridge!M51</f>
        <v>1.01967043338574</v>
      </c>
      <c r="N21" s="67" t="n">
        <f aca="false">ARR_Bridge!N51</f>
        <v>1.01612194535461</v>
      </c>
      <c r="O21" s="67" t="n">
        <f aca="false">ARR_Bridge!O51</f>
        <v>1.00989314739018</v>
      </c>
      <c r="P21" s="67" t="n">
        <f aca="false">ARR_Bridge!P51</f>
        <v>1.00989314739018</v>
      </c>
      <c r="Q21" s="67" t="n">
        <f aca="false">ARR_Bridge!Q51</f>
        <v>0.975414356209548</v>
      </c>
      <c r="R21" s="67" t="n">
        <f aca="false">ARR_Bridge!R51</f>
        <v>1.0273871849207</v>
      </c>
      <c r="S21" s="67" t="n">
        <f aca="false">ARR_Bridge!S51</f>
        <v>1.01172252454389</v>
      </c>
      <c r="T21" s="67" t="n">
        <f aca="false">ARR_Bridge!T51</f>
        <v>1.01137073644047</v>
      </c>
      <c r="U21" s="67" t="n">
        <f aca="false">ARR_Bridge!U51</f>
        <v>1.00069208658872</v>
      </c>
      <c r="V21" s="67" t="n">
        <f aca="false">ARR_Bridge!V51</f>
        <v>0.993909399956902</v>
      </c>
      <c r="W21" s="67" t="n">
        <f aca="false">ARR_Bridge!W51</f>
        <v>0.992283469815723</v>
      </c>
      <c r="X21" s="67" t="n">
        <f aca="false">ARR_Bridge!X51</f>
        <v>0.992283469815723</v>
      </c>
      <c r="Y21" s="67" t="n">
        <f aca="false">ARR_Bridge!Y51</f>
        <v>0.992324577205428</v>
      </c>
      <c r="Z21" s="67" t="n">
        <f aca="false">ARR_Bridge!Z51</f>
        <v>0.992323781998209</v>
      </c>
      <c r="AA21" s="67" t="n">
        <f aca="false">ARR_Bridge!AA51</f>
        <v>0.993342948066641</v>
      </c>
      <c r="AB21" s="67" t="n">
        <f aca="false">ARR_Bridge!AB51</f>
        <v>0.994293940344611</v>
      </c>
    </row>
    <row r="22" customFormat="false" ht="15" hidden="false" customHeight="false" outlineLevel="0" collapsed="false">
      <c r="A22" s="28" t="s">
        <v>346</v>
      </c>
      <c r="B22" s="63" t="s">
        <v>45</v>
      </c>
      <c r="C22" s="70" t="n">
        <f aca="false">AVERAGE(E22:P22)</f>
        <v>0.0278122973507679</v>
      </c>
      <c r="D22" s="70" t="n">
        <f aca="false">AVERAGE(Q22:AB22)</f>
        <v>0.0259031347503839</v>
      </c>
      <c r="E22" s="71" t="n">
        <f aca="false">ARR_Bridge!E68</f>
        <v>0.0288461538461538</v>
      </c>
      <c r="F22" s="71" t="n">
        <f aca="false">ARR_Bridge!F68</f>
        <v>0.0338753387533875</v>
      </c>
      <c r="G22" s="71" t="n">
        <f aca="false">ARR_Bridge!G68</f>
        <v>0.0213903743315508</v>
      </c>
      <c r="H22" s="71" t="n">
        <f aca="false">ARR_Bridge!H68</f>
        <v>0.0273794002607562</v>
      </c>
      <c r="I22" s="71" t="n">
        <f aca="false">ARR_Bridge!I68</f>
        <v>0.0296774193548387</v>
      </c>
      <c r="J22" s="71" t="n">
        <f aca="false">ARR_Bridge!J68</f>
        <v>0.0413971539456662</v>
      </c>
      <c r="K22" s="71" t="n">
        <f aca="false">ARR_Bridge!K68</f>
        <v>0.0155239327296248</v>
      </c>
      <c r="L22" s="71" t="n">
        <f aca="false">ARR_Bridge!L68</f>
        <v>0.0314465408805031</v>
      </c>
      <c r="M22" s="71" t="n">
        <f aca="false">ARR_Bridge!M68</f>
        <v>0.0258419721871049</v>
      </c>
      <c r="N22" s="71" t="n">
        <f aca="false">ARR_Bridge!N68</f>
        <v>0.0260498809808374</v>
      </c>
      <c r="O22" s="71" t="n">
        <f aca="false">ARR_Bridge!O68</f>
        <v>0.0260663361894914</v>
      </c>
      <c r="P22" s="71" t="n">
        <f aca="false">ARR_Bridge!P68</f>
        <v>0.0262530647493</v>
      </c>
      <c r="Q22" s="71" t="n">
        <f aca="false">ARR_Bridge!Q68</f>
        <v>0.026088082199455</v>
      </c>
      <c r="R22" s="71" t="n">
        <f aca="false">ARR_Bridge!R68</f>
        <v>0.0261367426962267</v>
      </c>
      <c r="S22" s="71" t="n">
        <f aca="false">ARR_Bridge!S68</f>
        <v>0.0261239529934067</v>
      </c>
      <c r="T22" s="71" t="n">
        <f aca="false">ARR_Bridge!T68</f>
        <v>0.0261599275155817</v>
      </c>
      <c r="U22" s="71" t="n">
        <f aca="false">ARR_Bridge!U68</f>
        <v>0.0260299856573326</v>
      </c>
      <c r="V22" s="71" t="n">
        <f aca="false">ARR_Bridge!V68</f>
        <v>0.0260152184527987</v>
      </c>
      <c r="W22" s="71" t="n">
        <f aca="false">ARR_Bridge!W68</f>
        <v>0.0258983812651082</v>
      </c>
      <c r="X22" s="71" t="n">
        <f aca="false">ARR_Bridge!X68</f>
        <v>0.0257418866142555</v>
      </c>
      <c r="Y22" s="71" t="n">
        <f aca="false">ARR_Bridge!Y68</f>
        <v>0.0255453600224344</v>
      </c>
      <c r="Z22" s="71" t="n">
        <f aca="false">ARR_Bridge!Z68</f>
        <v>0.0255881851495828</v>
      </c>
      <c r="AA22" s="71" t="n">
        <f aca="false">ARR_Bridge!AA68</f>
        <v>0.0256926335697569</v>
      </c>
      <c r="AB22" s="71" t="n">
        <f aca="false">ARR_Bridge!AB68</f>
        <v>0.0258172608686672</v>
      </c>
    </row>
    <row r="23" customFormat="false" ht="15" hidden="false" customHeight="false" outlineLevel="0" collapsed="false">
      <c r="A23" s="22" t="s">
        <v>347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348</v>
      </c>
      <c r="B24" s="63" t="s">
        <v>31</v>
      </c>
      <c r="C24" s="64" t="n">
        <f aca="false">SUM(E24:P24)</f>
        <v>6425973.04162272</v>
      </c>
      <c r="D24" s="64" t="n">
        <f aca="false">SUM(Q24:AB24)</f>
        <v>8028569.48845875</v>
      </c>
      <c r="E24" s="65" t="n">
        <f aca="false">PL!E14</f>
        <v>485641.093333333</v>
      </c>
      <c r="F24" s="65" t="n">
        <f aca="false">PL!F14</f>
        <v>484887.166666667</v>
      </c>
      <c r="G24" s="65" t="n">
        <f aca="false">PL!G14</f>
        <v>495250.14</v>
      </c>
      <c r="H24" s="65" t="n">
        <f aca="false">PL!H14</f>
        <v>518246.96</v>
      </c>
      <c r="I24" s="65" t="n">
        <f aca="false">PL!I14</f>
        <v>521169.963333333</v>
      </c>
      <c r="J24" s="65" t="n">
        <f aca="false">PL!J14</f>
        <v>529450.706666667</v>
      </c>
      <c r="K24" s="65" t="n">
        <f aca="false">PL!K14</f>
        <v>544833.956666667</v>
      </c>
      <c r="L24" s="65" t="n">
        <f aca="false">PL!L14</f>
        <v>549281.693333333</v>
      </c>
      <c r="M24" s="65" t="n">
        <f aca="false">PL!M14</f>
        <v>557912.23043892</v>
      </c>
      <c r="N24" s="65" t="n">
        <f aca="false">PL!N14</f>
        <v>568021.870338845</v>
      </c>
      <c r="O24" s="65" t="n">
        <f aca="false">PL!O14</f>
        <v>579850.622752256</v>
      </c>
      <c r="P24" s="65" t="n">
        <f aca="false">PL!P14</f>
        <v>591426.638092699</v>
      </c>
      <c r="Q24" s="65" t="n">
        <f aca="false">PL!Q14</f>
        <v>611515.522580524</v>
      </c>
      <c r="R24" s="65" t="n">
        <f aca="false">PL!R14</f>
        <v>623426.181574332</v>
      </c>
      <c r="S24" s="65" t="n">
        <f aca="false">PL!S14</f>
        <v>634818.563560504</v>
      </c>
      <c r="T24" s="65" t="n">
        <f aca="false">PL!T14</f>
        <v>643792.007663493</v>
      </c>
      <c r="U24" s="65" t="n">
        <f aca="false">PL!U14</f>
        <v>651904.677033965</v>
      </c>
      <c r="V24" s="65" t="n">
        <f aca="false">PL!V14</f>
        <v>663402.208785461</v>
      </c>
      <c r="W24" s="65" t="n">
        <f aca="false">PL!W14</f>
        <v>672511.17647539</v>
      </c>
      <c r="X24" s="65" t="n">
        <f aca="false">PL!X14</f>
        <v>680587.759380703</v>
      </c>
      <c r="Y24" s="65" t="n">
        <f aca="false">PL!Y14</f>
        <v>693609.388803041</v>
      </c>
      <c r="Z24" s="65" t="n">
        <f aca="false">PL!Z14</f>
        <v>706857.870649864</v>
      </c>
      <c r="AA24" s="65" t="n">
        <f aca="false">PL!AA14</f>
        <v>718261.489286153</v>
      </c>
      <c r="AB24" s="65" t="n">
        <f aca="false">PL!AB14</f>
        <v>727882.642665321</v>
      </c>
    </row>
    <row r="25" customFormat="false" ht="15" hidden="false" customHeight="false" outlineLevel="0" collapsed="false">
      <c r="A25" s="28" t="s">
        <v>349</v>
      </c>
      <c r="B25" s="63" t="s">
        <v>31</v>
      </c>
      <c r="C25" s="66" t="n">
        <f aca="false">PL!C23</f>
        <v>0.783598756445485</v>
      </c>
      <c r="D25" s="66" t="n">
        <f aca="false">PL!D23</f>
        <v>0.7910332719048</v>
      </c>
      <c r="E25" s="67" t="n">
        <f aca="false">PL!E23</f>
        <v>0.781103964513492</v>
      </c>
      <c r="F25" s="67" t="n">
        <f aca="false">PL!F23</f>
        <v>0.778760735745051</v>
      </c>
      <c r="G25" s="67" t="n">
        <f aca="false">PL!G23</f>
        <v>0.785930802563731</v>
      </c>
      <c r="H25" s="67" t="n">
        <f aca="false">PL!H23</f>
        <v>0.784736527928693</v>
      </c>
      <c r="I25" s="67" t="n">
        <f aca="false">PL!I23</f>
        <v>0.780062459342678</v>
      </c>
      <c r="J25" s="67" t="n">
        <f aca="false">PL!J23</f>
        <v>0.771593807549424</v>
      </c>
      <c r="K25" s="67" t="n">
        <f aca="false">PL!K23</f>
        <v>0.780146118768283</v>
      </c>
      <c r="L25" s="67" t="n">
        <f aca="false">PL!L23</f>
        <v>0.783417631710865</v>
      </c>
      <c r="M25" s="67" t="n">
        <f aca="false">PL!M23</f>
        <v>0.788875813506267</v>
      </c>
      <c r="N25" s="67" t="n">
        <f aca="false">PL!N23</f>
        <v>0.785503221807109</v>
      </c>
      <c r="O25" s="67" t="n">
        <f aca="false">PL!O23</f>
        <v>0.788761651883799</v>
      </c>
      <c r="P25" s="67" t="n">
        <f aca="false">PL!P23</f>
        <v>0.792007064426099</v>
      </c>
      <c r="Q25" s="67" t="n">
        <f aca="false">PL!Q23</f>
        <v>0.791437400142318</v>
      </c>
      <c r="R25" s="67" t="n">
        <f aca="false">PL!R23</f>
        <v>0.794383568826236</v>
      </c>
      <c r="S25" s="67" t="n">
        <f aca="false">PL!S23</f>
        <v>0.78557077159842</v>
      </c>
      <c r="T25" s="67" t="n">
        <f aca="false">PL!T23</f>
        <v>0.78779931764857</v>
      </c>
      <c r="U25" s="67" t="n">
        <f aca="false">PL!U23</f>
        <v>0.782559350848975</v>
      </c>
      <c r="V25" s="67" t="n">
        <f aca="false">PL!V23</f>
        <v>0.785516913397316</v>
      </c>
      <c r="W25" s="67" t="n">
        <f aca="false">PL!W23</f>
        <v>0.787734949723506</v>
      </c>
      <c r="X25" s="67" t="n">
        <f aca="false">PL!X23</f>
        <v>0.789667831981556</v>
      </c>
      <c r="Y25" s="67" t="n">
        <f aca="false">PL!Y23</f>
        <v>0.792617841526428</v>
      </c>
      <c r="Z25" s="67" t="n">
        <f aca="false">PL!Z23</f>
        <v>0.795501701650651</v>
      </c>
      <c r="AA25" s="67" t="n">
        <f aca="false">PL!AA23</f>
        <v>0.797854634395809</v>
      </c>
      <c r="AB25" s="67" t="n">
        <f aca="false">PL!AB23</f>
        <v>0.79980937254474</v>
      </c>
    </row>
    <row r="26" customFormat="false" ht="15" hidden="false" customHeight="false" outlineLevel="0" collapsed="false">
      <c r="A26" s="28" t="s">
        <v>350</v>
      </c>
      <c r="B26" s="63" t="s">
        <v>31</v>
      </c>
      <c r="C26" s="64" t="n">
        <f aca="false">SUM(E26:P26)</f>
        <v>-670368.382614836</v>
      </c>
      <c r="D26" s="64" t="n">
        <f aca="false">SUM(Q26:AB26)</f>
        <v>-139041.390469954</v>
      </c>
      <c r="E26" s="65" t="n">
        <f aca="false">PL!E41</f>
        <v>-80316.1613986426</v>
      </c>
      <c r="F26" s="65" t="n">
        <f aca="false">PL!F41</f>
        <v>-94833.2523357558</v>
      </c>
      <c r="G26" s="65" t="n">
        <f aca="false">PL!G41</f>
        <v>-105483.429479818</v>
      </c>
      <c r="H26" s="65" t="n">
        <f aca="false">PL!H41</f>
        <v>-73737.292480054</v>
      </c>
      <c r="I26" s="65" t="n">
        <f aca="false">PL!I41</f>
        <v>-90125.6709033416</v>
      </c>
      <c r="J26" s="65" t="n">
        <f aca="false">PL!J41</f>
        <v>-82030.1098627328</v>
      </c>
      <c r="K26" s="65" t="n">
        <f aca="false">PL!K41</f>
        <v>-52494.6256858053</v>
      </c>
      <c r="L26" s="65" t="n">
        <f aca="false">PL!L41</f>
        <v>-21128.6868661037</v>
      </c>
      <c r="M26" s="65" t="n">
        <f aca="false">PL!M41</f>
        <v>-29062.7288785742</v>
      </c>
      <c r="N26" s="65" t="n">
        <f aca="false">PL!N41</f>
        <v>-19363.3079623143</v>
      </c>
      <c r="O26" s="65" t="n">
        <f aca="false">PL!O41</f>
        <v>-19255.8060402165</v>
      </c>
      <c r="P26" s="65" t="n">
        <f aca="false">PL!P41</f>
        <v>-2537.31072147761</v>
      </c>
      <c r="Q26" s="65" t="n">
        <f aca="false">PL!Q41</f>
        <v>-83593.8510723104</v>
      </c>
      <c r="R26" s="65" t="n">
        <f aca="false">PL!R41</f>
        <v>-36520.2043107969</v>
      </c>
      <c r="S26" s="65" t="n">
        <f aca="false">PL!S41</f>
        <v>-60866.7270044282</v>
      </c>
      <c r="T26" s="65" t="n">
        <f aca="false">PL!T41</f>
        <v>-25559.6246218798</v>
      </c>
      <c r="U26" s="65" t="n">
        <f aca="false">PL!U41</f>
        <v>-51202.9767131293</v>
      </c>
      <c r="V26" s="65" t="n">
        <f aca="false">PL!V41</f>
        <v>-9929.41132661025</v>
      </c>
      <c r="W26" s="65" t="n">
        <f aca="false">PL!W41</f>
        <v>-1837.38678112999</v>
      </c>
      <c r="X26" s="65" t="n">
        <f aca="false">PL!X41</f>
        <v>20940.2952690659</v>
      </c>
      <c r="Y26" s="65" t="n">
        <f aca="false">PL!Y41</f>
        <v>2782.95032502967</v>
      </c>
      <c r="Z26" s="65" t="n">
        <f aca="false">PL!Z41</f>
        <v>25299.7894403335</v>
      </c>
      <c r="AA26" s="65" t="n">
        <f aca="false">PL!AA41</f>
        <v>35649.8658278742</v>
      </c>
      <c r="AB26" s="65" t="n">
        <f aca="false">PL!AB41</f>
        <v>45795.8904980273</v>
      </c>
    </row>
    <row r="27" customFormat="false" ht="15" hidden="false" customHeight="false" outlineLevel="0" collapsed="false">
      <c r="A27" s="28" t="s">
        <v>351</v>
      </c>
      <c r="B27" s="63" t="s">
        <v>31</v>
      </c>
      <c r="C27" s="66" t="n">
        <f aca="false">PL!C42</f>
        <v>-0.104321692337127</v>
      </c>
      <c r="D27" s="66" t="n">
        <f aca="false">PL!D42</f>
        <v>-0.0173183268413918</v>
      </c>
      <c r="E27" s="67" t="n">
        <f aca="false">PL!E42</f>
        <v>-0.165381724284019</v>
      </c>
      <c r="F27" s="67" t="n">
        <f aca="false">PL!F42</f>
        <v>-0.19557797948682</v>
      </c>
      <c r="G27" s="67" t="n">
        <f aca="false">PL!G42</f>
        <v>-0.212990206282058</v>
      </c>
      <c r="H27" s="67" t="n">
        <f aca="false">PL!H42</f>
        <v>-0.142282151505633</v>
      </c>
      <c r="I27" s="67" t="n">
        <f aca="false">PL!I42</f>
        <v>-0.172929518667787</v>
      </c>
      <c r="J27" s="67" t="n">
        <f aca="false">PL!J42</f>
        <v>-0.154934366561111</v>
      </c>
      <c r="K27" s="67" t="n">
        <f aca="false">PL!K42</f>
        <v>-0.0963497686652485</v>
      </c>
      <c r="L27" s="67" t="n">
        <f aca="false">PL!L42</f>
        <v>-0.0384660314052769</v>
      </c>
      <c r="M27" s="67" t="n">
        <f aca="false">PL!M42</f>
        <v>-0.052091937213332</v>
      </c>
      <c r="N27" s="67" t="n">
        <f aca="false">PL!N42</f>
        <v>-0.0340890183519931</v>
      </c>
      <c r="O27" s="67" t="n">
        <f aca="false">PL!O42</f>
        <v>-0.0332082182628675</v>
      </c>
      <c r="P27" s="67" t="n">
        <f aca="false">PL!P42</f>
        <v>-0.00429015292523892</v>
      </c>
      <c r="Q27" s="67" t="n">
        <f aca="false">PL!Q42</f>
        <v>-0.136699475296317</v>
      </c>
      <c r="R27" s="67" t="n">
        <f aca="false">PL!R42</f>
        <v>-0.0585798373410831</v>
      </c>
      <c r="S27" s="67" t="n">
        <f aca="false">PL!S42</f>
        <v>-0.0958805090119691</v>
      </c>
      <c r="T27" s="67" t="n">
        <f aca="false">PL!T42</f>
        <v>-0.0397016805390968</v>
      </c>
      <c r="U27" s="67" t="n">
        <f aca="false">PL!U42</f>
        <v>-0.0785436560235962</v>
      </c>
      <c r="V27" s="67" t="n">
        <f aca="false">PL!V42</f>
        <v>-0.0149674076979466</v>
      </c>
      <c r="W27" s="67" t="n">
        <f aca="false">PL!W42</f>
        <v>-0.00273212824619462</v>
      </c>
      <c r="X27" s="67" t="n">
        <f aca="false">PL!X42</f>
        <v>0.0307679575197185</v>
      </c>
      <c r="Y27" s="67" t="n">
        <f aca="false">PL!Y42</f>
        <v>0.00401227314675224</v>
      </c>
      <c r="Z27" s="67" t="n">
        <f aca="false">PL!Z42</f>
        <v>0.0357919045551175</v>
      </c>
      <c r="AA27" s="67" t="n">
        <f aca="false">PL!AA42</f>
        <v>0.0496335476141216</v>
      </c>
      <c r="AB27" s="67" t="n">
        <f aca="false">PL!AB42</f>
        <v>0.0629165854681387</v>
      </c>
    </row>
    <row r="28" customFormat="false" ht="15" hidden="false" customHeight="false" outlineLevel="0" collapsed="false">
      <c r="A28" s="28" t="s">
        <v>352</v>
      </c>
      <c r="B28" s="63" t="s">
        <v>49</v>
      </c>
      <c r="C28" s="66" t="n">
        <f aca="false">P28</f>
        <v>0.163352167334746</v>
      </c>
      <c r="D28" s="66" t="n">
        <f aca="false">AB28</f>
        <v>0.219588183648332</v>
      </c>
      <c r="E28" s="67" t="n">
        <f aca="false">Unit_Economics!E38</f>
        <v>0.057299281501755</v>
      </c>
      <c r="F28" s="67" t="n">
        <f aca="false">Unit_Economics!F38</f>
        <v>0.0246387927775165</v>
      </c>
      <c r="G28" s="67" t="n">
        <f aca="false">Unit_Economics!G38</f>
        <v>0.00504625303071821</v>
      </c>
      <c r="H28" s="67" t="n">
        <f aca="false">Unit_Economics!H38</f>
        <v>0.0622487171497566</v>
      </c>
      <c r="I28" s="67" t="n">
        <f aca="false">Unit_Economics!I38</f>
        <v>0.0377475913930758</v>
      </c>
      <c r="J28" s="67" t="n">
        <f aca="false">Unit_Economics!J38</f>
        <v>0.0530684669054214</v>
      </c>
      <c r="K28" s="67" t="n">
        <f aca="false">Unit_Economics!K38</f>
        <v>0.0659488732761666</v>
      </c>
      <c r="L28" s="67" t="n">
        <f aca="false">Unit_Economics!L38</f>
        <v>0.0770226178933626</v>
      </c>
      <c r="M28" s="67" t="n">
        <f aca="false">Unit_Economics!M38</f>
        <v>0.0941350975657919</v>
      </c>
      <c r="N28" s="67" t="n">
        <f aca="false">Unit_Economics!N38</f>
        <v>0.128012761765947</v>
      </c>
      <c r="O28" s="67" t="n">
        <f aca="false">Unit_Economics!O38</f>
        <v>0.137267232791029</v>
      </c>
      <c r="P28" s="67" t="n">
        <f aca="false">Unit_Economics!P38</f>
        <v>0.163352167334746</v>
      </c>
      <c r="Q28" s="67" t="n">
        <f aca="false">Unit_Economics!Q38</f>
        <v>0.154522592640746</v>
      </c>
      <c r="R28" s="67" t="n">
        <f aca="false">Unit_Economics!R38</f>
        <v>0.192975471065297</v>
      </c>
      <c r="S28" s="67" t="n">
        <f aca="false">Unit_Economics!S38</f>
        <v>0.195627440346877</v>
      </c>
      <c r="T28" s="67" t="n">
        <f aca="false">Unit_Economics!T38</f>
        <v>0.174607860006114</v>
      </c>
      <c r="U28" s="67" t="n">
        <f aca="false">Unit_Economics!U38</f>
        <v>0.186553448759608</v>
      </c>
      <c r="V28" s="67" t="n">
        <f aca="false">Unit_Economics!V38</f>
        <v>0.200646648124231</v>
      </c>
      <c r="W28" s="67" t="n">
        <f aca="false">Unit_Economics!W38</f>
        <v>0.19025488359032</v>
      </c>
      <c r="X28" s="67" t="n">
        <f aca="false">Unit_Economics!X38</f>
        <v>0.20166011794807</v>
      </c>
      <c r="Y28" s="67" t="n">
        <f aca="false">Unit_Economics!Y38</f>
        <v>0.208761981428583</v>
      </c>
      <c r="Z28" s="67" t="n">
        <f aca="false">Unit_Economics!Z38</f>
        <v>0.217254557391292</v>
      </c>
      <c r="AA28" s="67" t="n">
        <f aca="false">Unit_Economics!AA38</f>
        <v>0.218819282649813</v>
      </c>
      <c r="AB28" s="67" t="n">
        <f aca="false">Unit_Economics!AB38</f>
        <v>0.219588183648332</v>
      </c>
    </row>
    <row r="29" customFormat="false" ht="15" hidden="false" customHeight="false" outlineLevel="0" collapsed="false">
      <c r="A29" s="28" t="s">
        <v>353</v>
      </c>
      <c r="B29" s="63" t="s">
        <v>49</v>
      </c>
      <c r="C29" s="72" t="n">
        <f aca="false">P29</f>
        <v>0.843630416445014</v>
      </c>
      <c r="D29" s="72" t="n">
        <f aca="false">AB29</f>
        <v>0.604864574277585</v>
      </c>
      <c r="E29" s="73" t="n">
        <f aca="false">Unit_Economics!E33</f>
        <v>2.05429803028959</v>
      </c>
      <c r="F29" s="73" t="n">
        <f aca="false">Unit_Economics!F33</f>
        <v>1.98215038649457</v>
      </c>
      <c r="G29" s="73" t="n">
        <f aca="false">Unit_Economics!G33</f>
        <v>1.7902133995361</v>
      </c>
      <c r="H29" s="73" t="n">
        <f aca="false">Unit_Economics!H33</f>
        <v>1.63557624697733</v>
      </c>
      <c r="I29" s="73" t="n">
        <f aca="false">Unit_Economics!I33</f>
        <v>1.46588693205538</v>
      </c>
      <c r="J29" s="73" t="n">
        <f aca="false">Unit_Economics!J33</f>
        <v>1.35619157878409</v>
      </c>
      <c r="K29" s="73" t="n">
        <f aca="false">Unit_Economics!K33</f>
        <v>1.48332466792044</v>
      </c>
      <c r="L29" s="73" t="n">
        <f aca="false">Unit_Economics!L33</f>
        <v>1.31454777205337</v>
      </c>
      <c r="M29" s="73" t="n">
        <f aca="false">Unit_Economics!M33</f>
        <v>1.15026067424856</v>
      </c>
      <c r="N29" s="73" t="n">
        <f aca="false">Unit_Economics!N33</f>
        <v>1.12780350503913</v>
      </c>
      <c r="O29" s="73" t="n">
        <f aca="false">Unit_Economics!O33</f>
        <v>0.929531305294835</v>
      </c>
      <c r="P29" s="73" t="n">
        <f aca="false">Unit_Economics!P33</f>
        <v>0.843630416445014</v>
      </c>
      <c r="Q29" s="73" t="n">
        <f aca="false">Unit_Economics!Q33</f>
        <v>0.831431629772269</v>
      </c>
      <c r="R29" s="73" t="n">
        <f aca="false">Unit_Economics!R33</f>
        <v>0.840857846019642</v>
      </c>
      <c r="S29" s="73" t="n">
        <f aca="false">Unit_Economics!S33</f>
        <v>0.86165297450917</v>
      </c>
      <c r="T29" s="73" t="n">
        <f aca="false">Unit_Economics!T33</f>
        <v>0.721956155143842</v>
      </c>
      <c r="U29" s="73" t="n">
        <f aca="false">Unit_Economics!U33</f>
        <v>0.737870565426547</v>
      </c>
      <c r="V29" s="73" t="n">
        <f aca="false">Unit_Economics!V33</f>
        <v>0.787300603732482</v>
      </c>
      <c r="W29" s="73" t="n">
        <f aca="false">Unit_Economics!W33</f>
        <v>0.632660396541363</v>
      </c>
      <c r="X29" s="73" t="n">
        <f aca="false">Unit_Economics!X33</f>
        <v>0.613729770084287</v>
      </c>
      <c r="Y29" s="73" t="n">
        <f aca="false">Unit_Economics!Y33</f>
        <v>0.637153942019776</v>
      </c>
      <c r="Z29" s="73" t="n">
        <f aca="false">Unit_Economics!Z33</f>
        <v>0.508929495169988</v>
      </c>
      <c r="AA29" s="73" t="n">
        <f aca="false">Unit_Economics!AA33</f>
        <v>0.542433852679518</v>
      </c>
      <c r="AB29" s="73" t="n">
        <f aca="false">Unit_Economics!AB33</f>
        <v>0.604864574277585</v>
      </c>
    </row>
    <row r="30" customFormat="false" ht="15" hidden="false" customHeight="false" outlineLevel="0" collapsed="false">
      <c r="A30" s="28" t="s">
        <v>354</v>
      </c>
      <c r="B30" s="63" t="s">
        <v>49</v>
      </c>
      <c r="C30" s="64" t="n">
        <f aca="false">P30</f>
        <v>5919.56874929664</v>
      </c>
      <c r="D30" s="64" t="n">
        <f aca="false">AB30</f>
        <v>6700.82668307318</v>
      </c>
      <c r="E30" s="65" t="n">
        <f aca="false">Unit_Economics!E16</f>
        <v>5180.764718875</v>
      </c>
      <c r="F30" s="65" t="n">
        <f aca="false">Unit_Economics!F16</f>
        <v>5247.1988078481</v>
      </c>
      <c r="G30" s="65" t="n">
        <f aca="false">Unit_Economics!G16</f>
        <v>5184.27836578512</v>
      </c>
      <c r="H30" s="65" t="n">
        <f aca="false">Unit_Economics!H16</f>
        <v>5554.42124943966</v>
      </c>
      <c r="I30" s="65" t="n">
        <f aca="false">Unit_Economics!I16</f>
        <v>6543.46340915842</v>
      </c>
      <c r="J30" s="65" t="n">
        <f aca="false">Unit_Economics!J16</f>
        <v>6949.77406126316</v>
      </c>
      <c r="K30" s="65" t="n">
        <f aca="false">Unit_Economics!K16</f>
        <v>6595.73991171717</v>
      </c>
      <c r="L30" s="65" t="n">
        <f aca="false">Unit_Economics!L16</f>
        <v>6092.63511841584</v>
      </c>
      <c r="M30" s="65" t="n">
        <f aca="false">Unit_Economics!M16</f>
        <v>5904.73855871544</v>
      </c>
      <c r="N30" s="65" t="n">
        <f aca="false">Unit_Economics!N16</f>
        <v>5744.11594942022</v>
      </c>
      <c r="O30" s="65" t="n">
        <f aca="false">Unit_Economics!O16</f>
        <v>5452.83171322292</v>
      </c>
      <c r="P30" s="65" t="n">
        <f aca="false">Unit_Economics!P16</f>
        <v>5919.56874929664</v>
      </c>
      <c r="Q30" s="65" t="n">
        <f aca="false">Unit_Economics!Q16</f>
        <v>6114.7932830182</v>
      </c>
      <c r="R30" s="65" t="n">
        <f aca="false">Unit_Economics!R16</f>
        <v>6272.82527084145</v>
      </c>
      <c r="S30" s="65" t="n">
        <f aca="false">Unit_Economics!S16</f>
        <v>6182.52102462126</v>
      </c>
      <c r="T30" s="65" t="n">
        <f aca="false">Unit_Economics!T16</f>
        <v>6491.52649321893</v>
      </c>
      <c r="U30" s="65" t="n">
        <f aca="false">Unit_Economics!U16</f>
        <v>6793.0410742347</v>
      </c>
      <c r="V30" s="65" t="n">
        <f aca="false">Unit_Economics!V16</f>
        <v>6943.04512252377</v>
      </c>
      <c r="W30" s="65" t="n">
        <f aca="false">Unit_Economics!W16</f>
        <v>7341.94554969729</v>
      </c>
      <c r="X30" s="65" t="n">
        <f aca="false">Unit_Economics!X16</f>
        <v>7853.0351006249</v>
      </c>
      <c r="Y30" s="65" t="n">
        <f aca="false">Unit_Economics!Y16</f>
        <v>7482.13061616051</v>
      </c>
      <c r="Z30" s="65" t="n">
        <f aca="false">Unit_Economics!Z16</f>
        <v>6806.79688473657</v>
      </c>
      <c r="AA30" s="65" t="n">
        <f aca="false">Unit_Economics!AA16</f>
        <v>6247.12737578148</v>
      </c>
      <c r="AB30" s="65" t="n">
        <f aca="false">Unit_Economics!AB16</f>
        <v>6700.82668307318</v>
      </c>
    </row>
    <row r="31" customFormat="false" ht="15" hidden="false" customHeight="false" outlineLevel="0" collapsed="false">
      <c r="A31" s="28" t="s">
        <v>355</v>
      </c>
      <c r="B31" s="63" t="s">
        <v>49</v>
      </c>
      <c r="C31" s="68" t="n">
        <f aca="false">P31</f>
        <v>15.1762736541797</v>
      </c>
      <c r="D31" s="68" t="n">
        <f aca="false">AB31</f>
        <v>15.0134470904213</v>
      </c>
      <c r="E31" s="69" t="n">
        <f aca="false">Unit_Economics!E18</f>
        <v>13.5904986956921</v>
      </c>
      <c r="F31" s="69" t="n">
        <f aca="false">Unit_Economics!F18</f>
        <v>15.8112563222293</v>
      </c>
      <c r="G31" s="69" t="n">
        <f aca="false">Unit_Economics!G18</f>
        <v>15.3573782505378</v>
      </c>
      <c r="H31" s="69" t="n">
        <f aca="false">Unit_Economics!H18</f>
        <v>14.1605427994466</v>
      </c>
      <c r="I31" s="69" t="n">
        <f aca="false">Unit_Economics!I18</f>
        <v>15.0153008965187</v>
      </c>
      <c r="J31" s="69" t="n">
        <f aca="false">Unit_Economics!J18</f>
        <v>16.1098103905428</v>
      </c>
      <c r="K31" s="69" t="n">
        <f aca="false">Unit_Economics!K18</f>
        <v>17.7143532068593</v>
      </c>
      <c r="L31" s="69" t="n">
        <f aca="false">Unit_Economics!L18</f>
        <v>16.5668906227207</v>
      </c>
      <c r="M31" s="69" t="n">
        <f aca="false">Unit_Economics!M18</f>
        <v>15.9629990519327</v>
      </c>
      <c r="N31" s="69" t="n">
        <f aca="false">Unit_Economics!N18</f>
        <v>17.1347697755836</v>
      </c>
      <c r="O31" s="69" t="n">
        <f aca="false">Unit_Economics!O18</f>
        <v>15.3964982968439</v>
      </c>
      <c r="P31" s="69" t="n">
        <f aca="false">Unit_Economics!P18</f>
        <v>15.1762736541797</v>
      </c>
      <c r="Q31" s="69" t="n">
        <f aca="false">Unit_Economics!Q18</f>
        <v>14.406165571086</v>
      </c>
      <c r="R31" s="69" t="n">
        <f aca="false">Unit_Economics!R18</f>
        <v>15.2359996751012</v>
      </c>
      <c r="S31" s="69" t="n">
        <f aca="false">Unit_Economics!S18</f>
        <v>15.2365030561373</v>
      </c>
      <c r="T31" s="69" t="n">
        <f aca="false">Unit_Economics!T18</f>
        <v>15.7671570043232</v>
      </c>
      <c r="U31" s="69" t="n">
        <f aca="false">Unit_Economics!U18</f>
        <v>16.88454767486</v>
      </c>
      <c r="V31" s="69" t="n">
        <f aca="false">Unit_Economics!V18</f>
        <v>17.0307191603568</v>
      </c>
      <c r="W31" s="69" t="n">
        <f aca="false">Unit_Economics!W18</f>
        <v>17.4456889977712</v>
      </c>
      <c r="X31" s="69" t="n">
        <f aca="false">Unit_Economics!X18</f>
        <v>16.6988721555443</v>
      </c>
      <c r="Y31" s="69" t="n">
        <f aca="false">Unit_Economics!Y18</f>
        <v>16.0495995879363</v>
      </c>
      <c r="Z31" s="69" t="n">
        <f aca="false">Unit_Economics!Z18</f>
        <v>15.269468122045</v>
      </c>
      <c r="AA31" s="69" t="n">
        <f aca="false">Unit_Economics!AA18</f>
        <v>14.3454003535399</v>
      </c>
      <c r="AB31" s="69" t="n">
        <f aca="false">Unit_Economics!AB18</f>
        <v>15.0134470904213</v>
      </c>
    </row>
    <row r="32" customFormat="false" ht="15" hidden="false" customHeight="false" outlineLevel="0" collapsed="false">
      <c r="A32" s="28" t="s">
        <v>356</v>
      </c>
      <c r="B32" s="63" t="s">
        <v>49</v>
      </c>
      <c r="C32" s="72" t="n">
        <f aca="false">P32</f>
        <v>4.48798418956861</v>
      </c>
      <c r="D32" s="72" t="n">
        <f aca="false">AB32</f>
        <v>5.01091407242686</v>
      </c>
      <c r="E32" s="73" t="n">
        <f aca="false">Unit_Economics!E25</f>
        <v>5.78516408448575</v>
      </c>
      <c r="F32" s="73" t="n">
        <f aca="false">Unit_Economics!F25</f>
        <v>4.90636211248558</v>
      </c>
      <c r="G32" s="73" t="n">
        <f aca="false">Unit_Economics!G25</f>
        <v>4.69323026838343</v>
      </c>
      <c r="H32" s="73" t="n">
        <f aca="false">Unit_Economics!H25</f>
        <v>4.69705895811096</v>
      </c>
      <c r="I32" s="73" t="n">
        <f aca="false">Unit_Economics!I25</f>
        <v>3.9118219384191</v>
      </c>
      <c r="J32" s="73" t="n">
        <f aca="false">Unit_Economics!J25</f>
        <v>3.64762018392101</v>
      </c>
      <c r="K32" s="73" t="n">
        <f aca="false">Unit_Economics!K25</f>
        <v>3.89651347929347</v>
      </c>
      <c r="L32" s="73" t="n">
        <f aca="false">Unit_Economics!L25</f>
        <v>4.19473418750138</v>
      </c>
      <c r="M32" s="73" t="n">
        <f aca="false">Unit_Economics!M25</f>
        <v>4.34774292801677</v>
      </c>
      <c r="N32" s="73" t="n">
        <f aca="false">Unit_Economics!N25</f>
        <v>4.592681268702</v>
      </c>
      <c r="O32" s="73" t="n">
        <f aca="false">Unit_Economics!O25</f>
        <v>4.84658733614982</v>
      </c>
      <c r="P32" s="73" t="n">
        <f aca="false">Unit_Economics!P25</f>
        <v>4.48798418956861</v>
      </c>
      <c r="Q32" s="73" t="n">
        <f aca="false">Unit_Economics!Q25</f>
        <v>4.33462233474116</v>
      </c>
      <c r="R32" s="73" t="n">
        <f aca="false">Unit_Economics!R25</f>
        <v>4.70744654310397</v>
      </c>
      <c r="S32" s="73" t="n">
        <f aca="false">Unit_Economics!S25</f>
        <v>4.84571020777066</v>
      </c>
      <c r="T32" s="73" t="n">
        <f aca="false">Unit_Economics!T25</f>
        <v>4.58982915449278</v>
      </c>
      <c r="U32" s="73" t="n">
        <f aca="false">Unit_Economics!U25</f>
        <v>4.46224667092699</v>
      </c>
      <c r="V32" s="73" t="n">
        <f aca="false">Unit_Economics!V25</f>
        <v>4.46968361046134</v>
      </c>
      <c r="W32" s="73" t="n">
        <f aca="false">Unit_Economics!W25</f>
        <v>4.20057902344681</v>
      </c>
      <c r="X32" s="73" t="n">
        <f aca="false">Unit_Economics!X25</f>
        <v>4.08178011414968</v>
      </c>
      <c r="Y32" s="73" t="n">
        <f aca="false">Unit_Economics!Y25</f>
        <v>4.32164360913494</v>
      </c>
      <c r="Z32" s="73" t="n">
        <f aca="false">Unit_Economics!Z25</f>
        <v>4.79162274241233</v>
      </c>
      <c r="AA32" s="73" t="n">
        <f aca="false">Unit_Economics!AA25</f>
        <v>5.29268835385797</v>
      </c>
      <c r="AB32" s="73" t="n">
        <f aca="false">Unit_Economics!AB25</f>
        <v>5.01091407242686</v>
      </c>
    </row>
    <row r="33" customFormat="false" ht="15" hidden="false" customHeight="false" outlineLevel="0" collapsed="false">
      <c r="A33" s="28" t="s">
        <v>357</v>
      </c>
      <c r="B33" s="63" t="s">
        <v>49</v>
      </c>
      <c r="C33" s="64" t="n">
        <f aca="false">P33</f>
        <v>77647.7724102849</v>
      </c>
      <c r="D33" s="64" t="n">
        <f aca="false">AB33</f>
        <v>83266.5738337955</v>
      </c>
      <c r="E33" s="65" t="n">
        <f aca="false">Unit_Economics!E39</f>
        <v>70027.0755555556</v>
      </c>
      <c r="F33" s="65" t="n">
        <f aca="false">Unit_Economics!F39</f>
        <v>68139.108433735</v>
      </c>
      <c r="G33" s="65" t="n">
        <f aca="false">Unit_Economics!G39</f>
        <v>68075.3138823529</v>
      </c>
      <c r="H33" s="65" t="n">
        <f aca="false">Unit_Economics!H39</f>
        <v>69271.9944827586</v>
      </c>
      <c r="I33" s="65" t="n">
        <f aca="false">Unit_Economics!I39</f>
        <v>68283.5905617978</v>
      </c>
      <c r="J33" s="65" t="n">
        <f aca="false">Unit_Economics!J39</f>
        <v>68517.872</v>
      </c>
      <c r="K33" s="65" t="n">
        <f aca="false">Unit_Economics!K39</f>
        <v>70568.972</v>
      </c>
      <c r="L33" s="65" t="n">
        <f aca="false">Unit_Economics!L39</f>
        <v>72746.3672727273</v>
      </c>
      <c r="M33" s="65" t="n">
        <f aca="false">Unit_Economics!M39</f>
        <v>74086.1252804747</v>
      </c>
      <c r="N33" s="65" t="n">
        <f aca="false">Unit_Economics!N39</f>
        <v>75450.8668858159</v>
      </c>
      <c r="O33" s="65" t="n">
        <f aca="false">Unit_Economics!O39</f>
        <v>76209.3616659016</v>
      </c>
      <c r="P33" s="65" t="n">
        <f aca="false">Unit_Economics!P39</f>
        <v>77647.7724102849</v>
      </c>
      <c r="Q33" s="65" t="n">
        <f aca="false">Unit_Economics!Q39</f>
        <v>74525.5032988599</v>
      </c>
      <c r="R33" s="65" t="n">
        <f aca="false">Unit_Economics!R39</f>
        <v>76011.2344595708</v>
      </c>
      <c r="S33" s="65" t="n">
        <f aca="false">Unit_Economics!S39</f>
        <v>75905.4447627439</v>
      </c>
      <c r="T33" s="65" t="n">
        <f aca="false">Unit_Economics!T39</f>
        <v>76476.5540079909</v>
      </c>
      <c r="U33" s="65" t="n">
        <f aca="false">Unit_Economics!U39</f>
        <v>75921.1555552419</v>
      </c>
      <c r="V33" s="65" t="n">
        <f aca="false">Unit_Economics!V39</f>
        <v>77244.4414834819</v>
      </c>
      <c r="W33" s="65" t="n">
        <f aca="false">Unit_Economics!W39</f>
        <v>78425.6429702248</v>
      </c>
      <c r="X33" s="65" t="n">
        <f aca="false">Unit_Economics!X39</f>
        <v>79361.6040871959</v>
      </c>
      <c r="Y33" s="65" t="n">
        <f aca="false">Unit_Economics!Y39</f>
        <v>79253.5153070819</v>
      </c>
      <c r="Z33" s="65" t="n">
        <f aca="false">Unit_Economics!Z39</f>
        <v>80738.5193613068</v>
      </c>
      <c r="AA33" s="65" t="n">
        <f aca="false">Unit_Economics!AA39</f>
        <v>82113.629280096</v>
      </c>
      <c r="AB33" s="65" t="n">
        <f aca="false">Unit_Economics!AB39</f>
        <v>83266.5738337955</v>
      </c>
    </row>
    <row r="34" customFormat="false" ht="15" hidden="false" customHeight="false" outlineLevel="0" collapsed="false">
      <c r="A34" s="22" t="s">
        <v>358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row>
    <row r="35" customFormat="false" ht="15" hidden="false" customHeight="false" outlineLevel="0" collapsed="false">
      <c r="A35" s="28" t="s">
        <v>51</v>
      </c>
      <c r="B35" s="63" t="s">
        <v>51</v>
      </c>
      <c r="C35" s="64" t="n">
        <f aca="false">SUM(E35:P35)</f>
        <v>6890834.36276776</v>
      </c>
      <c r="D35" s="64" t="n">
        <f aca="false">SUM(Q35:AB35)</f>
        <v>8553431.06757175</v>
      </c>
      <c r="E35" s="65" t="n">
        <f aca="false">Billings!E14</f>
        <v>893904.81</v>
      </c>
      <c r="F35" s="65" t="n">
        <f aca="false">Billings!F14</f>
        <v>341622.14</v>
      </c>
      <c r="G35" s="65" t="n">
        <f aca="false">Billings!G14</f>
        <v>696673.3</v>
      </c>
      <c r="H35" s="65" t="n">
        <f aca="false">Billings!H14</f>
        <v>652599.29</v>
      </c>
      <c r="I35" s="65" t="n">
        <f aca="false">Billings!I14</f>
        <v>540671.24</v>
      </c>
      <c r="J35" s="65" t="n">
        <f aca="false">Billings!J14</f>
        <v>539154.22</v>
      </c>
      <c r="K35" s="65" t="n">
        <f aca="false">Billings!K14</f>
        <v>592023.44</v>
      </c>
      <c r="L35" s="65" t="n">
        <f aca="false">Billings!L14</f>
        <v>362129.14</v>
      </c>
      <c r="M35" s="65" t="n">
        <f aca="false">Billings!M14</f>
        <v>649931.08381704</v>
      </c>
      <c r="N35" s="65" t="n">
        <f aca="false">Billings!N14</f>
        <v>492868.858141659</v>
      </c>
      <c r="O35" s="65" t="n">
        <f aca="false">Billings!O14</f>
        <v>681123.539635787</v>
      </c>
      <c r="P35" s="65" t="n">
        <f aca="false">Billings!P14</f>
        <v>448133.30117327</v>
      </c>
      <c r="Q35" s="65" t="n">
        <f aca="false">Billings!Q14</f>
        <v>1028350.34859629</v>
      </c>
      <c r="R35" s="65" t="n">
        <f aca="false">Billings!R14</f>
        <v>488429.050149784</v>
      </c>
      <c r="S35" s="65" t="n">
        <f aca="false">Billings!S14</f>
        <v>841431.103312033</v>
      </c>
      <c r="T35" s="65" t="n">
        <f aca="false">Billings!T14</f>
        <v>773470.444424579</v>
      </c>
      <c r="U35" s="65" t="n">
        <f aca="false">Billings!U14</f>
        <v>643547.034641579</v>
      </c>
      <c r="V35" s="65" t="n">
        <f aca="false">Billings!V14</f>
        <v>689964.107991791</v>
      </c>
      <c r="W35" s="65" t="n">
        <f aca="false">Billings!W14</f>
        <v>726370.677635817</v>
      </c>
      <c r="X35" s="65" t="n">
        <f aca="false">Billings!X14</f>
        <v>492347.350943393</v>
      </c>
      <c r="Y35" s="65" t="n">
        <f aca="false">Billings!Y14</f>
        <v>809532.189704242</v>
      </c>
      <c r="Z35" s="65" t="n">
        <f aca="false">Billings!Z14</f>
        <v>650782.275547103</v>
      </c>
      <c r="AA35" s="65" t="n">
        <f aca="false">Billings!AA14</f>
        <v>825958.89255162</v>
      </c>
      <c r="AB35" s="65" t="n">
        <f aca="false">Billings!AB14</f>
        <v>583247.592073527</v>
      </c>
    </row>
    <row r="36" customFormat="false" ht="15" hidden="false" customHeight="false" outlineLevel="0" collapsed="false">
      <c r="A36" s="28" t="s">
        <v>359</v>
      </c>
      <c r="B36" s="63" t="s">
        <v>51</v>
      </c>
      <c r="C36" s="64" t="n">
        <f aca="false">SUM(E36:P36)</f>
        <v>464861.321145035</v>
      </c>
      <c r="D36" s="64" t="n">
        <f aca="false">SUM(Q36:AB36)</f>
        <v>524861.579113003</v>
      </c>
      <c r="E36" s="65" t="n">
        <f aca="false">Billings!E42</f>
        <v>408263.716666667</v>
      </c>
      <c r="F36" s="65" t="n">
        <f aca="false">Billings!F42</f>
        <v>-143265.026666667</v>
      </c>
      <c r="G36" s="65" t="n">
        <f aca="false">Billings!G42</f>
        <v>201423.16</v>
      </c>
      <c r="H36" s="65" t="n">
        <f aca="false">Billings!H42</f>
        <v>134352.33</v>
      </c>
      <c r="I36" s="65" t="n">
        <f aca="false">Billings!I42</f>
        <v>19501.2766666666</v>
      </c>
      <c r="J36" s="65" t="n">
        <f aca="false">Billings!J42</f>
        <v>9703.51333333331</v>
      </c>
      <c r="K36" s="65" t="n">
        <f aca="false">Billings!K42</f>
        <v>47189.4833333333</v>
      </c>
      <c r="L36" s="65" t="n">
        <f aca="false">Billings!L42</f>
        <v>-187152.553333333</v>
      </c>
      <c r="M36" s="65" t="n">
        <f aca="false">Billings!M42</f>
        <v>92018.85337812</v>
      </c>
      <c r="N36" s="65" t="n">
        <f aca="false">Billings!N42</f>
        <v>-75153.0121971864</v>
      </c>
      <c r="O36" s="65" t="n">
        <f aca="false">Billings!O42</f>
        <v>101272.916883531</v>
      </c>
      <c r="P36" s="65" t="n">
        <f aca="false">Billings!P42</f>
        <v>-143293.336919429</v>
      </c>
      <c r="Q36" s="65" t="n">
        <f aca="false">Billings!Q42</f>
        <v>416834.826015762</v>
      </c>
      <c r="R36" s="65" t="n">
        <f aca="false">Billings!R42</f>
        <v>-134997.131424548</v>
      </c>
      <c r="S36" s="65" t="n">
        <f aca="false">Billings!S42</f>
        <v>206612.539751529</v>
      </c>
      <c r="T36" s="65" t="n">
        <f aca="false">Billings!T42</f>
        <v>129678.436761086</v>
      </c>
      <c r="U36" s="65" t="n">
        <f aca="false">Billings!U42</f>
        <v>-8357.64239238575</v>
      </c>
      <c r="V36" s="65" t="n">
        <f aca="false">Billings!V42</f>
        <v>26561.8992063303</v>
      </c>
      <c r="W36" s="65" t="n">
        <f aca="false">Billings!W42</f>
        <v>53859.5011604273</v>
      </c>
      <c r="X36" s="65" t="n">
        <f aca="false">Billings!X42</f>
        <v>-188240.40843731</v>
      </c>
      <c r="Y36" s="65" t="n">
        <f aca="false">Billings!Y42</f>
        <v>115922.800901201</v>
      </c>
      <c r="Z36" s="65" t="n">
        <f aca="false">Billings!Z42</f>
        <v>-56075.5951027612</v>
      </c>
      <c r="AA36" s="65" t="n">
        <f aca="false">Billings!AA42</f>
        <v>107697.403265467</v>
      </c>
      <c r="AB36" s="65" t="n">
        <f aca="false">Billings!AB42</f>
        <v>-144635.050591794</v>
      </c>
    </row>
    <row r="37" customFormat="false" ht="15" hidden="false" customHeight="false" outlineLevel="0" collapsed="false">
      <c r="A37" s="28" t="s">
        <v>360</v>
      </c>
      <c r="B37" s="63" t="s">
        <v>34</v>
      </c>
      <c r="C37" s="64" t="n">
        <f aca="false">P37</f>
        <v>1900824.07114503</v>
      </c>
      <c r="D37" s="64" t="n">
        <f aca="false">AB37</f>
        <v>2425685.65025804</v>
      </c>
      <c r="E37" s="65" t="n">
        <f aca="false">BS!E43</f>
        <v>1844226.46666667</v>
      </c>
      <c r="F37" s="65" t="n">
        <f aca="false">BS!F43</f>
        <v>1700961.44</v>
      </c>
      <c r="G37" s="65" t="n">
        <f aca="false">BS!G43</f>
        <v>1902384.6</v>
      </c>
      <c r="H37" s="65" t="n">
        <f aca="false">BS!H43</f>
        <v>2036736.93</v>
      </c>
      <c r="I37" s="65" t="n">
        <f aca="false">BS!I43</f>
        <v>2056238.20666667</v>
      </c>
      <c r="J37" s="65" t="n">
        <f aca="false">BS!J43</f>
        <v>2065941.72</v>
      </c>
      <c r="K37" s="65" t="n">
        <f aca="false">BS!K43</f>
        <v>2113131.20333333</v>
      </c>
      <c r="L37" s="65" t="n">
        <f aca="false">BS!L43</f>
        <v>1925978.65</v>
      </c>
      <c r="M37" s="65" t="n">
        <f aca="false">BS!M43</f>
        <v>2017997.50337812</v>
      </c>
      <c r="N37" s="65" t="n">
        <f aca="false">BS!N43</f>
        <v>1942844.49118093</v>
      </c>
      <c r="O37" s="65" t="n">
        <f aca="false">BS!O43</f>
        <v>2044117.40806446</v>
      </c>
      <c r="P37" s="65" t="n">
        <f aca="false">BS!P43</f>
        <v>1900824.07114503</v>
      </c>
      <c r="Q37" s="65" t="n">
        <f aca="false">BS!Q43</f>
        <v>2317658.8971608</v>
      </c>
      <c r="R37" s="65" t="n">
        <f aca="false">BS!R43</f>
        <v>2182661.76573625</v>
      </c>
      <c r="S37" s="65" t="n">
        <f aca="false">BS!S43</f>
        <v>2389274.30548778</v>
      </c>
      <c r="T37" s="65" t="n">
        <f aca="false">BS!T43</f>
        <v>2518952.74224886</v>
      </c>
      <c r="U37" s="65" t="n">
        <f aca="false">BS!U43</f>
        <v>2510595.09985648</v>
      </c>
      <c r="V37" s="65" t="n">
        <f aca="false">BS!V43</f>
        <v>2537156.99906281</v>
      </c>
      <c r="W37" s="65" t="n">
        <f aca="false">BS!W43</f>
        <v>2591016.50022324</v>
      </c>
      <c r="X37" s="65" t="n">
        <f aca="false">BS!X43</f>
        <v>2402776.09178593</v>
      </c>
      <c r="Y37" s="65" t="n">
        <f aca="false">BS!Y43</f>
        <v>2518698.89268713</v>
      </c>
      <c r="Z37" s="65" t="n">
        <f aca="false">BS!Z43</f>
        <v>2462623.29758437</v>
      </c>
      <c r="AA37" s="65" t="n">
        <f aca="false">BS!AA43</f>
        <v>2570320.70084983</v>
      </c>
      <c r="AB37" s="65" t="n">
        <f aca="false">BS!AB43</f>
        <v>2425685.65025804</v>
      </c>
    </row>
    <row r="38" customFormat="false" ht="15" hidden="false" customHeight="false" outlineLevel="0" collapsed="false">
      <c r="A38" s="28" t="s">
        <v>361</v>
      </c>
      <c r="B38" s="63" t="s">
        <v>64</v>
      </c>
      <c r="C38" s="68" t="n">
        <f aca="false">P38</f>
        <v>40.8260521542708</v>
      </c>
      <c r="D38" s="68" t="n">
        <f aca="false">AB38</f>
        <v>40.4329805683121</v>
      </c>
      <c r="E38" s="69" t="n">
        <f aca="false">Receivables!E33</f>
        <v>31.9342037044425</v>
      </c>
      <c r="F38" s="69" t="n">
        <f aca="false">Receivables!F33</f>
        <v>30.8674272161838</v>
      </c>
      <c r="G38" s="69" t="n">
        <f aca="false">Receivables!G33</f>
        <v>34.9429280795968</v>
      </c>
      <c r="H38" s="69" t="n">
        <f aca="false">Receivables!H33</f>
        <v>53.7955218796906</v>
      </c>
      <c r="I38" s="69" t="n">
        <f aca="false">Receivables!I33</f>
        <v>37.8698831917693</v>
      </c>
      <c r="J38" s="69" t="n">
        <f aca="false">Receivables!J33</f>
        <v>37.8594017968808</v>
      </c>
      <c r="K38" s="69" t="n">
        <f aca="false">Receivables!K33</f>
        <v>46.3053840712533</v>
      </c>
      <c r="L38" s="69" t="n">
        <f aca="false">Receivables!L33</f>
        <v>35.2975170124793</v>
      </c>
      <c r="M38" s="69" t="n">
        <f aca="false">Receivables!M33</f>
        <v>48.4156405039759</v>
      </c>
      <c r="N38" s="69" t="n">
        <f aca="false">Receivables!N33</f>
        <v>49.2484657158473</v>
      </c>
      <c r="O38" s="69" t="n">
        <f aca="false">Receivables!O33</f>
        <v>43.2167153727838</v>
      </c>
      <c r="P38" s="69" t="n">
        <f aca="false">Receivables!P33</f>
        <v>40.8260521542708</v>
      </c>
      <c r="Q38" s="69" t="n">
        <f aca="false">Receivables!Q33</f>
        <v>53.1980643069358</v>
      </c>
      <c r="R38" s="69" t="n">
        <f aca="false">Receivables!R33</f>
        <v>40.4710535583901</v>
      </c>
      <c r="S38" s="69" t="n">
        <f aca="false">Receivables!S33</f>
        <v>36.1816110825113</v>
      </c>
      <c r="T38" s="69" t="n">
        <f aca="false">Receivables!T33</f>
        <v>50.9066518700923</v>
      </c>
      <c r="U38" s="69" t="n">
        <f aca="false">Receivables!U33</f>
        <v>36.5568907401895</v>
      </c>
      <c r="V38" s="69" t="n">
        <f aca="false">Receivables!V33</f>
        <v>38.5938411051736</v>
      </c>
      <c r="W38" s="69" t="n">
        <f aca="false">Receivables!W33</f>
        <v>45.5814677114804</v>
      </c>
      <c r="X38" s="69" t="n">
        <f aca="false">Receivables!X33</f>
        <v>32.2009218754679</v>
      </c>
      <c r="Y38" s="69" t="n">
        <f aca="false">Receivables!Y33</f>
        <v>44.7110212347008</v>
      </c>
      <c r="Z38" s="69" t="n">
        <f aca="false">Receivables!Z33</f>
        <v>48.6506807300175</v>
      </c>
      <c r="AA38" s="69" t="n">
        <f aca="false">Receivables!AA33</f>
        <v>42.559343876928</v>
      </c>
      <c r="AB38" s="69" t="n">
        <f aca="false">Receivables!AB33</f>
        <v>40.4329805683121</v>
      </c>
    </row>
    <row r="39" customFormat="false" ht="15" hidden="false" customHeight="false" outlineLevel="0" collapsed="false">
      <c r="A39" s="59" t="s">
        <v>362</v>
      </c>
      <c r="B39" s="60" t="s">
        <v>34</v>
      </c>
      <c r="C39" s="61" t="n">
        <f aca="false">P39</f>
        <v>3695090.48338292</v>
      </c>
      <c r="D39" s="61" t="n">
        <f aca="false">AB39</f>
        <v>2041290.76337461</v>
      </c>
      <c r="E39" s="62" t="n">
        <f aca="false">BS!E9</f>
        <v>4852248.1816</v>
      </c>
      <c r="F39" s="62" t="n">
        <f aca="false">BS!F9</f>
        <v>4995217.72625</v>
      </c>
      <c r="G39" s="62" t="n">
        <f aca="false">BS!G9</f>
        <v>5127022.9542</v>
      </c>
      <c r="H39" s="62" t="n">
        <f aca="false">BS!H9</f>
        <v>4707127.2234</v>
      </c>
      <c r="I39" s="62" t="n">
        <f aca="false">BS!I9</f>
        <v>4886441.5383</v>
      </c>
      <c r="J39" s="62" t="n">
        <f aca="false">BS!J9</f>
        <v>4735039.50395</v>
      </c>
      <c r="K39" s="62" t="n">
        <f aca="false">BS!K9</f>
        <v>4308764.706</v>
      </c>
      <c r="L39" s="62" t="n">
        <f aca="false">BS!L9</f>
        <v>4314216.6401</v>
      </c>
      <c r="M39" s="62" t="n">
        <f aca="false">BS!M9</f>
        <v>4227071.66234184</v>
      </c>
      <c r="N39" s="62" t="n">
        <f aca="false">BS!N9</f>
        <v>3890943.09508614</v>
      </c>
      <c r="O39" s="62" t="n">
        <f aca="false">BS!O9</f>
        <v>3926768.85566784</v>
      </c>
      <c r="P39" s="62" t="n">
        <f aca="false">BS!P9</f>
        <v>3695090.48338292</v>
      </c>
      <c r="Q39" s="62" t="n">
        <f aca="false">BS!Q9</f>
        <v>3305287.37684197</v>
      </c>
      <c r="R39" s="62" t="n">
        <f aca="false">BS!R9</f>
        <v>3251254.78257675</v>
      </c>
      <c r="S39" s="62" t="n">
        <f aca="false">BS!S9</f>
        <v>3290582.26839432</v>
      </c>
      <c r="T39" s="62" t="n">
        <f aca="false">BS!T9</f>
        <v>3120538.59672397</v>
      </c>
      <c r="U39" s="62" t="n">
        <f aca="false">BS!U9</f>
        <v>3188304.56351528</v>
      </c>
      <c r="V39" s="62" t="n">
        <f aca="false">BS!V9</f>
        <v>2873084.18723816</v>
      </c>
      <c r="W39" s="62" t="n">
        <f aca="false">BS!W9</f>
        <v>2680289.76338965</v>
      </c>
      <c r="X39" s="62" t="n">
        <f aca="false">BS!X9</f>
        <v>2687783.22894887</v>
      </c>
      <c r="Y39" s="62" t="n">
        <f aca="false">BS!Y9</f>
        <v>2538330.74839547</v>
      </c>
      <c r="Z39" s="62" t="n">
        <f aca="false">BS!Z9</f>
        <v>2387195.22314706</v>
      </c>
      <c r="AA39" s="62" t="n">
        <f aca="false">BS!AA9</f>
        <v>2370346.56512129</v>
      </c>
      <c r="AB39" s="62" t="n">
        <f aca="false">BS!AB9</f>
        <v>2041290.76337461</v>
      </c>
    </row>
    <row r="40" customFormat="false" ht="15" hidden="false" customHeight="false" outlineLevel="0" collapsed="false">
      <c r="A40" s="28" t="s">
        <v>363</v>
      </c>
      <c r="B40" s="63" t="s">
        <v>85</v>
      </c>
      <c r="C40" s="64" t="n">
        <f aca="false">P40</f>
        <v>1000000</v>
      </c>
      <c r="D40" s="64" t="n">
        <f aca="false">AB40</f>
        <v>1000000</v>
      </c>
      <c r="E40" s="65" t="n">
        <f aca="false">Assumptions!$C$13</f>
        <v>1000000</v>
      </c>
      <c r="F40" s="65" t="n">
        <f aca="false">Assumptions!$C$13</f>
        <v>1000000</v>
      </c>
      <c r="G40" s="65" t="n">
        <f aca="false">Assumptions!$C$13</f>
        <v>1000000</v>
      </c>
      <c r="H40" s="65" t="n">
        <f aca="false">Assumptions!$C$13</f>
        <v>1000000</v>
      </c>
      <c r="I40" s="65" t="n">
        <f aca="false">Assumptions!$C$13</f>
        <v>1000000</v>
      </c>
      <c r="J40" s="65" t="n">
        <f aca="false">Assumptions!$C$13</f>
        <v>1000000</v>
      </c>
      <c r="K40" s="65" t="n">
        <f aca="false">Assumptions!$C$13</f>
        <v>1000000</v>
      </c>
      <c r="L40" s="65" t="n">
        <f aca="false">Assumptions!$C$13</f>
        <v>1000000</v>
      </c>
      <c r="M40" s="65" t="n">
        <f aca="false">Assumptions!$C$13</f>
        <v>1000000</v>
      </c>
      <c r="N40" s="65" t="n">
        <f aca="false">Assumptions!$C$13</f>
        <v>1000000</v>
      </c>
      <c r="O40" s="65" t="n">
        <f aca="false">Assumptions!$C$13</f>
        <v>1000000</v>
      </c>
      <c r="P40" s="65" t="n">
        <f aca="false">Assumptions!$C$13</f>
        <v>1000000</v>
      </c>
      <c r="Q40" s="65" t="n">
        <f aca="false">Assumptions!$C$13</f>
        <v>1000000</v>
      </c>
      <c r="R40" s="65" t="n">
        <f aca="false">Assumptions!$C$13</f>
        <v>1000000</v>
      </c>
      <c r="S40" s="65" t="n">
        <f aca="false">Assumptions!$C$13</f>
        <v>1000000</v>
      </c>
      <c r="T40" s="65" t="n">
        <f aca="false">Assumptions!$C$13</f>
        <v>1000000</v>
      </c>
      <c r="U40" s="65" t="n">
        <f aca="false">Assumptions!$C$13</f>
        <v>1000000</v>
      </c>
      <c r="V40" s="65" t="n">
        <f aca="false">Assumptions!$C$13</f>
        <v>1000000</v>
      </c>
      <c r="W40" s="65" t="n">
        <f aca="false">Assumptions!$C$13</f>
        <v>1000000</v>
      </c>
      <c r="X40" s="65" t="n">
        <f aca="false">Assumptions!$C$13</f>
        <v>1000000</v>
      </c>
      <c r="Y40" s="65" t="n">
        <f aca="false">Assumptions!$C$13</f>
        <v>1000000</v>
      </c>
      <c r="Z40" s="65" t="n">
        <f aca="false">Assumptions!$C$13</f>
        <v>1000000</v>
      </c>
      <c r="AA40" s="65" t="n">
        <f aca="false">Assumptions!$C$13</f>
        <v>1000000</v>
      </c>
      <c r="AB40" s="65" t="n">
        <f aca="false">Assumptions!$C$13</f>
        <v>1000000</v>
      </c>
    </row>
    <row r="41" customFormat="false" ht="15" hidden="false" customHeight="false" outlineLevel="0" collapsed="false">
      <c r="A41" s="28" t="s">
        <v>364</v>
      </c>
      <c r="B41" s="63"/>
      <c r="C41" s="64" t="n">
        <f aca="false">P41</f>
        <v>2695090.48338292</v>
      </c>
      <c r="D41" s="64" t="n">
        <f aca="false">AB41</f>
        <v>1041290.76337461</v>
      </c>
      <c r="E41" s="74" t="n">
        <f aca="false">E39-E40</f>
        <v>3852248.1816</v>
      </c>
      <c r="F41" s="74" t="n">
        <f aca="false">F39-F40</f>
        <v>3995217.72625</v>
      </c>
      <c r="G41" s="74" t="n">
        <f aca="false">G39-G40</f>
        <v>4127022.9542</v>
      </c>
      <c r="H41" s="74" t="n">
        <f aca="false">H39-H40</f>
        <v>3707127.2234</v>
      </c>
      <c r="I41" s="74" t="n">
        <f aca="false">I39-I40</f>
        <v>3886441.5383</v>
      </c>
      <c r="J41" s="74" t="n">
        <f aca="false">J39-J40</f>
        <v>3735039.50395</v>
      </c>
      <c r="K41" s="74" t="n">
        <f aca="false">K39-K40</f>
        <v>3308764.706</v>
      </c>
      <c r="L41" s="74" t="n">
        <f aca="false">L39-L40</f>
        <v>3314216.6401</v>
      </c>
      <c r="M41" s="74" t="n">
        <f aca="false">M39-M40</f>
        <v>3227071.66234184</v>
      </c>
      <c r="N41" s="74" t="n">
        <f aca="false">N39-N40</f>
        <v>2890943.09508614</v>
      </c>
      <c r="O41" s="74" t="n">
        <f aca="false">O39-O40</f>
        <v>2926768.85566784</v>
      </c>
      <c r="P41" s="74" t="n">
        <f aca="false">P39-P40</f>
        <v>2695090.48338292</v>
      </c>
      <c r="Q41" s="74" t="n">
        <f aca="false">Q39-Q40</f>
        <v>2305287.37684197</v>
      </c>
      <c r="R41" s="74" t="n">
        <f aca="false">R39-R40</f>
        <v>2251254.78257675</v>
      </c>
      <c r="S41" s="74" t="n">
        <f aca="false">S39-S40</f>
        <v>2290582.26839432</v>
      </c>
      <c r="T41" s="74" t="n">
        <f aca="false">T39-T40</f>
        <v>2120538.59672397</v>
      </c>
      <c r="U41" s="74" t="n">
        <f aca="false">U39-U40</f>
        <v>2188304.56351528</v>
      </c>
      <c r="V41" s="74" t="n">
        <f aca="false">V39-V40</f>
        <v>1873084.18723816</v>
      </c>
      <c r="W41" s="74" t="n">
        <f aca="false">W39-W40</f>
        <v>1680289.76338965</v>
      </c>
      <c r="X41" s="74" t="n">
        <f aca="false">X39-X40</f>
        <v>1687783.22894887</v>
      </c>
      <c r="Y41" s="74" t="n">
        <f aca="false">Y39-Y40</f>
        <v>1538330.74839547</v>
      </c>
      <c r="Z41" s="74" t="n">
        <f aca="false">Z39-Z40</f>
        <v>1387195.22314706</v>
      </c>
      <c r="AA41" s="74" t="n">
        <f aca="false">AA39-AA40</f>
        <v>1370346.56512129</v>
      </c>
      <c r="AB41" s="74" t="n">
        <f aca="false">AB39-AB40</f>
        <v>1041290.76337461</v>
      </c>
    </row>
    <row r="42" customFormat="false" ht="15" hidden="false" customHeight="false" outlineLevel="0" collapsed="false">
      <c r="A42" s="28" t="s">
        <v>365</v>
      </c>
      <c r="B42" s="63" t="s">
        <v>49</v>
      </c>
      <c r="C42" s="64" t="n">
        <f aca="false">SUM(E42:P42)</f>
        <v>1227131.71661708</v>
      </c>
      <c r="D42" s="64" t="n">
        <f aca="false">SUM(Q42:AB42)</f>
        <v>987133.000008313</v>
      </c>
      <c r="E42" s="65" t="n">
        <f aca="false">Unit_Economics!E29</f>
        <v>347751.8184</v>
      </c>
      <c r="F42" s="65" t="n">
        <f aca="false">Unit_Economics!F29</f>
        <v>-142969.54465</v>
      </c>
      <c r="G42" s="65" t="n">
        <f aca="false">Unit_Economics!G29</f>
        <v>-131805.22795</v>
      </c>
      <c r="H42" s="65" t="n">
        <f aca="false">Unit_Economics!H29</f>
        <v>419895.7308</v>
      </c>
      <c r="I42" s="65" t="n">
        <f aca="false">Unit_Economics!I29</f>
        <v>-179314.3149</v>
      </c>
      <c r="J42" s="65" t="n">
        <f aca="false">Unit_Economics!J29</f>
        <v>151402.03435</v>
      </c>
      <c r="K42" s="65" t="n">
        <f aca="false">Unit_Economics!K29</f>
        <v>426274.79795</v>
      </c>
      <c r="L42" s="65" t="n">
        <f aca="false">Unit_Economics!L29</f>
        <v>-61007.4940999999</v>
      </c>
      <c r="M42" s="65" t="n">
        <f aca="false">Unit_Economics!M29</f>
        <v>31589.4177581627</v>
      </c>
      <c r="N42" s="65" t="n">
        <f aca="false">Unit_Economics!N29</f>
        <v>280573.007255694</v>
      </c>
      <c r="O42" s="65" t="n">
        <f aca="false">Unit_Economics!O29</f>
        <v>-91381.3205816957</v>
      </c>
      <c r="P42" s="65" t="n">
        <f aca="false">Unit_Economics!P29</f>
        <v>176122.812284915</v>
      </c>
      <c r="Q42" s="65" t="n">
        <f aca="false">Unit_Economics!Q29</f>
        <v>334247.546540957</v>
      </c>
      <c r="R42" s="65" t="n">
        <f aca="false">Unit_Economics!R29</f>
        <v>-1522.96573478042</v>
      </c>
      <c r="S42" s="65" t="n">
        <f aca="false">Unit_Economics!S29</f>
        <v>-94883.0458175777</v>
      </c>
      <c r="T42" s="65" t="n">
        <f aca="false">Unit_Economics!T29</f>
        <v>114488.111670352</v>
      </c>
      <c r="U42" s="65" t="n">
        <f aca="false">Unit_Economics!U29</f>
        <v>-123321.526791308</v>
      </c>
      <c r="V42" s="65" t="n">
        <f aca="false">Unit_Economics!V29</f>
        <v>259664.816277116</v>
      </c>
      <c r="W42" s="65" t="n">
        <f aca="false">Unit_Economics!W29</f>
        <v>137238.86384851</v>
      </c>
      <c r="X42" s="65" t="n">
        <f aca="false">Unit_Economics!X29</f>
        <v>-63049.0255592121</v>
      </c>
      <c r="Y42" s="65" t="n">
        <f aca="false">Unit_Economics!Y29</f>
        <v>93896.9205533973</v>
      </c>
      <c r="Z42" s="65" t="n">
        <f aca="false">Unit_Economics!Z29</f>
        <v>95579.9652484089</v>
      </c>
      <c r="AA42" s="65" t="n">
        <f aca="false">Unit_Economics!AA29</f>
        <v>-38706.9019742314</v>
      </c>
      <c r="AB42" s="65" t="n">
        <f aca="false">Unit_Economics!AB29</f>
        <v>273500.241746682</v>
      </c>
    </row>
    <row r="43" customFormat="false" ht="15" hidden="false" customHeight="false" outlineLevel="0" collapsed="false">
      <c r="A43" s="28" t="s">
        <v>366</v>
      </c>
      <c r="B43" s="63" t="s">
        <v>49</v>
      </c>
      <c r="C43" s="68" t="n">
        <f aca="false">P43</f>
        <v>15.1984163536981</v>
      </c>
      <c r="D43" s="68" t="n">
        <f aca="false">AB43</f>
        <v>6.28495168249438</v>
      </c>
      <c r="E43" s="69" t="n">
        <f aca="false">Unit_Economics!E45</f>
        <v>11.0775788299947</v>
      </c>
      <c r="F43" s="69" t="n">
        <f aca="false">Unit_Economics!F45</f>
        <v>39.0191753718625</v>
      </c>
      <c r="G43" s="69" t="n">
        <f aca="false">Unit_Economics!G45</f>
        <v>60</v>
      </c>
      <c r="H43" s="69" t="n">
        <f aca="false">Unit_Economics!H45</f>
        <v>60</v>
      </c>
      <c r="I43" s="69" t="n">
        <f aca="false">Unit_Economics!I45</f>
        <v>60</v>
      </c>
      <c r="J43" s="69" t="n">
        <f aca="false">Unit_Economics!J45</f>
        <v>28.5856928518374</v>
      </c>
      <c r="K43" s="69" t="n">
        <f aca="false">Unit_Economics!K45</f>
        <v>24.9177412141737</v>
      </c>
      <c r="L43" s="69" t="n">
        <f aca="false">Unit_Economics!L45</f>
        <v>17.37542345951</v>
      </c>
      <c r="M43" s="69" t="n">
        <f aca="false">Unit_Economics!M45</f>
        <v>19.0587163084497</v>
      </c>
      <c r="N43" s="69" t="n">
        <f aca="false">Unit_Economics!N45</f>
        <v>20.75725395412</v>
      </c>
      <c r="O43" s="69" t="n">
        <f aca="false">Unit_Economics!O45</f>
        <v>22.6619093457247</v>
      </c>
      <c r="P43" s="69" t="n">
        <f aca="false">Unit_Economics!P45</f>
        <v>15.1984163536981</v>
      </c>
      <c r="Q43" s="69" t="n">
        <f aca="false">Unit_Economics!Q45</f>
        <v>11.8087502863627</v>
      </c>
      <c r="R43" s="69" t="n">
        <f aca="false">Unit_Economics!R45</f>
        <v>9.99796246557176</v>
      </c>
      <c r="S43" s="69" t="n">
        <f aca="false">Unit_Economics!S45</f>
        <v>16.9879042020856</v>
      </c>
      <c r="T43" s="69" t="n">
        <f aca="false">Unit_Economics!T45</f>
        <v>34.4338716938154</v>
      </c>
      <c r="U43" s="69" t="n">
        <f aca="false">Unit_Economics!U45</f>
        <v>60</v>
      </c>
      <c r="V43" s="69" t="n">
        <f aca="false">Unit_Economics!V45</f>
        <v>13.459349432585</v>
      </c>
      <c r="W43" s="69" t="n">
        <f aca="false">Unit_Economics!W45</f>
        <v>11.4500457661429</v>
      </c>
      <c r="X43" s="69" t="n">
        <f aca="false">Unit_Economics!X45</f>
        <v>10.1161515747033</v>
      </c>
      <c r="Y43" s="69" t="n">
        <f aca="false">Unit_Economics!Y45</f>
        <v>13.7862429767452</v>
      </c>
      <c r="Z43" s="69" t="n">
        <f aca="false">Unit_Economics!Z45</f>
        <v>14.1987826385187</v>
      </c>
      <c r="AA43" s="69" t="n">
        <f aca="false">Unit_Economics!AA45</f>
        <v>12.9507399863455</v>
      </c>
      <c r="AB43" s="69" t="n">
        <f aca="false">Unit_Economics!AB45</f>
        <v>6.28495168249438</v>
      </c>
    </row>
    <row r="44" customFormat="false" ht="15" hidden="false" customHeight="false" outlineLevel="0" collapsed="false">
      <c r="A44" s="28" t="s">
        <v>367</v>
      </c>
      <c r="B44" s="63" t="s">
        <v>60</v>
      </c>
      <c r="C44" s="68" t="n">
        <f aca="false">P44</f>
        <v>88.7179553678983</v>
      </c>
      <c r="D44" s="68" t="n">
        <f aca="false">AB44</f>
        <v>102.330879243233</v>
      </c>
      <c r="E44" s="69" t="n">
        <f aca="false">People!E24</f>
        <v>81</v>
      </c>
      <c r="F44" s="69" t="n">
        <f aca="false">People!F24</f>
        <v>83</v>
      </c>
      <c r="G44" s="69" t="n">
        <f aca="false">People!G24</f>
        <v>85</v>
      </c>
      <c r="H44" s="69" t="n">
        <f aca="false">People!H24</f>
        <v>87</v>
      </c>
      <c r="I44" s="69" t="n">
        <f aca="false">People!I24</f>
        <v>89</v>
      </c>
      <c r="J44" s="69" t="n">
        <f aca="false">People!J24</f>
        <v>90</v>
      </c>
      <c r="K44" s="69" t="n">
        <f aca="false">People!K24</f>
        <v>90</v>
      </c>
      <c r="L44" s="69" t="n">
        <f aca="false">People!L24</f>
        <v>88</v>
      </c>
      <c r="M44" s="69" t="n">
        <f aca="false">People!M24</f>
        <v>87.8583333333333</v>
      </c>
      <c r="N44" s="69" t="n">
        <f aca="false">People!N24</f>
        <v>87.7236152777778</v>
      </c>
      <c r="O44" s="69" t="n">
        <f aca="false">People!O24</f>
        <v>88.7348292939815</v>
      </c>
      <c r="P44" s="69" t="n">
        <f aca="false">People!P24</f>
        <v>88.7179553678983</v>
      </c>
      <c r="Q44" s="69" t="n">
        <f aca="false">People!Q24</f>
        <v>95.6971345583035</v>
      </c>
      <c r="R44" s="69" t="n">
        <f aca="false">People!R24</f>
        <v>95.6053883095035</v>
      </c>
      <c r="S44" s="69" t="n">
        <f aca="false">People!S24</f>
        <v>97.5147021186952</v>
      </c>
      <c r="T44" s="69" t="n">
        <f aca="false">People!T24</f>
        <v>98.4841087201044</v>
      </c>
      <c r="U44" s="69" t="n">
        <f aca="false">People!U24</f>
        <v>100.442680714454</v>
      </c>
      <c r="V44" s="69" t="n">
        <f aca="false">People!V24</f>
        <v>100.400548492333</v>
      </c>
      <c r="W44" s="69" t="n">
        <f aca="false">People!W24</f>
        <v>100.36854105797</v>
      </c>
      <c r="X44" s="69" t="n">
        <f aca="false">People!X24</f>
        <v>100.369777131982</v>
      </c>
      <c r="Y44" s="69" t="n">
        <f aca="false">People!Y24</f>
        <v>102.370322287288</v>
      </c>
      <c r="Z44" s="69" t="n">
        <f aca="false">People!Z24</f>
        <v>102.3502899783</v>
      </c>
      <c r="AA44" s="69" t="n">
        <f aca="false">People!AA24</f>
        <v>102.330480443405</v>
      </c>
      <c r="AB44" s="69" t="n">
        <f aca="false">People!AB24</f>
        <v>102.330879243233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368</v>
      </c>
    </row>
    <row r="3" customFormat="false" ht="15" hidden="false" customHeight="false" outlineLevel="0" collapsed="false">
      <c r="A3" s="50" t="s">
        <v>369</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370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371</v>
      </c>
      <c r="B9" s="63" t="s">
        <v>51</v>
      </c>
      <c r="C9" s="64" t="n">
        <f aca="false">SUM(E9:P9)</f>
        <v>2292146.03335691</v>
      </c>
      <c r="D9" s="64" t="n">
        <f aca="false">SUM(Q9:AB9)</f>
        <v>2845748.14308978</v>
      </c>
      <c r="E9" s="65" t="n">
        <f aca="false">Billings!E16</f>
        <v>174978.24</v>
      </c>
      <c r="F9" s="65" t="n">
        <f aca="false">Billings!F16</f>
        <v>177795.19</v>
      </c>
      <c r="G9" s="65" t="n">
        <f aca="false">Billings!G16</f>
        <v>182441.8</v>
      </c>
      <c r="H9" s="65" t="n">
        <f aca="false">Billings!H16</f>
        <v>185266.36</v>
      </c>
      <c r="I9" s="65" t="n">
        <f aca="false">Billings!I16</f>
        <v>186670.07</v>
      </c>
      <c r="J9" s="65" t="n">
        <f aca="false">Billings!J16</f>
        <v>188010.67</v>
      </c>
      <c r="K9" s="65" t="n">
        <f aca="false">Billings!K16</f>
        <v>193092.08</v>
      </c>
      <c r="L9" s="65" t="n">
        <f aca="false">Billings!L16</f>
        <v>193793.2</v>
      </c>
      <c r="M9" s="65" t="n">
        <f aca="false">Billings!M16</f>
        <v>197510.54199</v>
      </c>
      <c r="N9" s="65" t="n">
        <f aca="false">Billings!N16</f>
        <v>201389.981659303</v>
      </c>
      <c r="O9" s="65" t="n">
        <f aca="false">Billings!O16</f>
        <v>204577.130406235</v>
      </c>
      <c r="P9" s="65" t="n">
        <f aca="false">Billings!P16</f>
        <v>206620.769301376</v>
      </c>
      <c r="Q9" s="65" t="n">
        <f aca="false">Billings!Q16</f>
        <v>221529.16542104</v>
      </c>
      <c r="R9" s="65" t="n">
        <f aca="false">Billings!R16</f>
        <v>225107.101002617</v>
      </c>
      <c r="S9" s="65" t="n">
        <f aca="false">Billings!S16</f>
        <v>228435.848599049</v>
      </c>
      <c r="T9" s="65" t="n">
        <f aca="false">Billings!T16</f>
        <v>231378.848655521</v>
      </c>
      <c r="U9" s="65" t="n">
        <f aca="false">Billings!U16</f>
        <v>234298.743785971</v>
      </c>
      <c r="V9" s="65" t="n">
        <f aca="false">Billings!V16</f>
        <v>236849.87830248</v>
      </c>
      <c r="W9" s="65" t="n">
        <f aca="false">Billings!W16</f>
        <v>238726.323980879</v>
      </c>
      <c r="X9" s="65" t="n">
        <f aca="false">Billings!X16</f>
        <v>239484.052549134</v>
      </c>
      <c r="Y9" s="65" t="n">
        <f aca="false">Billings!Y16</f>
        <v>242896.501665807</v>
      </c>
      <c r="Z9" s="65" t="n">
        <f aca="false">Billings!Z16</f>
        <v>246515.843407558</v>
      </c>
      <c r="AA9" s="65" t="n">
        <f aca="false">Billings!AA16</f>
        <v>249407.831021413</v>
      </c>
      <c r="AB9" s="65" t="n">
        <f aca="false">Billings!AB16</f>
        <v>251118.00469831</v>
      </c>
    </row>
    <row r="10" customFormat="false" ht="15" hidden="false" customHeight="false" outlineLevel="0" collapsed="false">
      <c r="A10" s="28" t="s">
        <v>372</v>
      </c>
      <c r="B10" s="63" t="s">
        <v>51</v>
      </c>
      <c r="C10" s="64" t="n">
        <f aca="false">SUM(E10:P10)</f>
        <v>2191823.57719565</v>
      </c>
      <c r="D10" s="64" t="n">
        <f aca="false">SUM(Q10:AB10)</f>
        <v>2832261.44395086</v>
      </c>
      <c r="E10" s="65" t="n">
        <f aca="false">Billings!E17</f>
        <v>161537.76</v>
      </c>
      <c r="F10" s="65" t="n">
        <f aca="false">Billings!F17</f>
        <v>164221.87</v>
      </c>
      <c r="G10" s="65" t="n">
        <f aca="false">Billings!G17</f>
        <v>168175.09</v>
      </c>
      <c r="H10" s="65" t="n">
        <f aca="false">Billings!H17</f>
        <v>173607.3</v>
      </c>
      <c r="I10" s="65" t="n">
        <f aca="false">Billings!I17</f>
        <v>174737.86</v>
      </c>
      <c r="J10" s="65" t="n">
        <f aca="false">Billings!J17</f>
        <v>179786.18</v>
      </c>
      <c r="K10" s="65" t="n">
        <f aca="false">Billings!K17</f>
        <v>183863.96</v>
      </c>
      <c r="L10" s="65" t="n">
        <f aca="false">Billings!L17</f>
        <v>187368.91</v>
      </c>
      <c r="M10" s="65" t="n">
        <f aca="false">Billings!M17</f>
        <v>192436.78119128</v>
      </c>
      <c r="N10" s="65" t="n">
        <f aca="false">Billings!N17</f>
        <v>197733.437557769</v>
      </c>
      <c r="O10" s="65" t="n">
        <f aca="false">Billings!O17</f>
        <v>202185.41245898</v>
      </c>
      <c r="P10" s="65" t="n">
        <f aca="false">Billings!P17</f>
        <v>206169.015987616</v>
      </c>
      <c r="Q10" s="65" t="n">
        <f aca="false">Billings!Q17</f>
        <v>210929.915137777</v>
      </c>
      <c r="R10" s="65" t="n">
        <f aca="false">Billings!R17</f>
        <v>215919.185320842</v>
      </c>
      <c r="S10" s="65" t="n">
        <f aca="false">Billings!S17</f>
        <v>220398.149792098</v>
      </c>
      <c r="T10" s="65" t="n">
        <f aca="false">Billings!T17</f>
        <v>224921.647227816</v>
      </c>
      <c r="U10" s="65" t="n">
        <f aca="false">Billings!U17</f>
        <v>229684.216038077</v>
      </c>
      <c r="V10" s="65" t="n">
        <f aca="false">Billings!V17</f>
        <v>234194.714753691</v>
      </c>
      <c r="W10" s="65" t="n">
        <f aca="false">Billings!W17</f>
        <v>238178.354248375</v>
      </c>
      <c r="X10" s="65" t="n">
        <f aca="false">Billings!X17</f>
        <v>241582.221397932</v>
      </c>
      <c r="Y10" s="65" t="n">
        <f aca="false">Billings!Y17</f>
        <v>246633.176101812</v>
      </c>
      <c r="Z10" s="65" t="n">
        <f aca="false">Billings!Z17</f>
        <v>251903.4488387</v>
      </c>
      <c r="AA10" s="65" t="n">
        <f aca="false">Billings!AA17</f>
        <v>256795.226601984</v>
      </c>
      <c r="AB10" s="65" t="n">
        <f aca="false">Billings!AB17</f>
        <v>261121.188491756</v>
      </c>
    </row>
    <row r="11" customFormat="false" ht="15" hidden="false" customHeight="false" outlineLevel="0" collapsed="false">
      <c r="A11" s="28" t="s">
        <v>373</v>
      </c>
      <c r="B11" s="63" t="s">
        <v>51</v>
      </c>
      <c r="C11" s="64" t="n">
        <f aca="false">SUM(E11:P11)</f>
        <v>1759082.28732016</v>
      </c>
      <c r="D11" s="64" t="n">
        <f aca="false">SUM(Q11:AB11)</f>
        <v>2142903.16131394</v>
      </c>
      <c r="E11" s="65" t="n">
        <f aca="false">Billings!E18</f>
        <v>136166.76</v>
      </c>
      <c r="F11" s="65" t="n">
        <f aca="false">Billings!F18</f>
        <v>129278.44</v>
      </c>
      <c r="G11" s="65" t="n">
        <f aca="false">Billings!G18</f>
        <v>131583.25</v>
      </c>
      <c r="H11" s="65" t="n">
        <f aca="false">Billings!H18</f>
        <v>143348.3</v>
      </c>
      <c r="I11" s="65" t="n">
        <f aca="false">Billings!I18</f>
        <v>145028.7</v>
      </c>
      <c r="J11" s="65" t="n">
        <f aca="false">Billings!J18</f>
        <v>146087.19</v>
      </c>
      <c r="K11" s="65" t="n">
        <f aca="false">Billings!K18</f>
        <v>152311.25</v>
      </c>
      <c r="L11" s="65" t="n">
        <f aca="false">Billings!L18</f>
        <v>152311.25</v>
      </c>
      <c r="M11" s="65" t="n">
        <f aca="false">Billings!M18</f>
        <v>152476.30100764</v>
      </c>
      <c r="N11" s="65" t="n">
        <f aca="false">Billings!N18</f>
        <v>152445.14903844</v>
      </c>
      <c r="O11" s="65" t="n">
        <f aca="false">Billings!O18</f>
        <v>156772.84863704</v>
      </c>
      <c r="P11" s="65" t="n">
        <f aca="false">Billings!P18</f>
        <v>161272.84863704</v>
      </c>
      <c r="Q11" s="65" t="n">
        <f aca="false">Billings!Q18</f>
        <v>161864.01254254</v>
      </c>
      <c r="R11" s="65" t="n">
        <f aca="false">Billings!R18</f>
        <v>164564.01254254</v>
      </c>
      <c r="S11" s="65" t="n">
        <f aca="false">Billings!S18</f>
        <v>167990.73787769</v>
      </c>
      <c r="T11" s="65" t="n">
        <f aca="false">Billings!T18</f>
        <v>171343.27573849</v>
      </c>
      <c r="U11" s="65" t="n">
        <f aca="false">Billings!U18</f>
        <v>171494.07241825</v>
      </c>
      <c r="V11" s="65" t="n">
        <f aca="false">Billings!V18</f>
        <v>175237.43135429</v>
      </c>
      <c r="W11" s="65" t="n">
        <f aca="false">Billings!W18</f>
        <v>179050.93564197</v>
      </c>
      <c r="X11" s="65" t="n">
        <f aca="false">Billings!X18</f>
        <v>182725.93564197</v>
      </c>
      <c r="Y11" s="65" t="n">
        <f aca="false">Billings!Y18</f>
        <v>186570.980931254</v>
      </c>
      <c r="Z11" s="65" t="n">
        <f aca="false">Billings!Z18</f>
        <v>190214.946841106</v>
      </c>
      <c r="AA11" s="65" t="n">
        <f aca="false">Billings!AA18</f>
        <v>194024.203641923</v>
      </c>
      <c r="AB11" s="65" t="n">
        <f aca="false">Billings!AB18</f>
        <v>197822.616141923</v>
      </c>
    </row>
    <row r="12" customFormat="false" ht="15" hidden="false" customHeight="false" outlineLevel="0" collapsed="false">
      <c r="A12" s="59" t="s">
        <v>374</v>
      </c>
      <c r="B12" s="60"/>
      <c r="C12" s="61" t="n">
        <f aca="false">SUM(E12:P12)</f>
        <v>6243051.89787272</v>
      </c>
      <c r="D12" s="61" t="n">
        <f aca="false">SUM(Q12:AB12)</f>
        <v>7820912.74835458</v>
      </c>
      <c r="E12" s="61" t="n">
        <f aca="false">E9+E10+E11</f>
        <v>472682.76</v>
      </c>
      <c r="F12" s="61" t="n">
        <f aca="false">F9+F10+F11</f>
        <v>471295.5</v>
      </c>
      <c r="G12" s="61" t="n">
        <f aca="false">G9+G10+G11</f>
        <v>482200.14</v>
      </c>
      <c r="H12" s="61" t="n">
        <f aca="false">H9+H10+H11</f>
        <v>502221.96</v>
      </c>
      <c r="I12" s="61" t="n">
        <f aca="false">I9+I10+I11</f>
        <v>506436.63</v>
      </c>
      <c r="J12" s="61" t="n">
        <f aca="false">J9+J10+J11</f>
        <v>513884.04</v>
      </c>
      <c r="K12" s="61" t="n">
        <f aca="false">K9+K10+K11</f>
        <v>529267.29</v>
      </c>
      <c r="L12" s="61" t="n">
        <f aca="false">L9+L10+L11</f>
        <v>533473.36</v>
      </c>
      <c r="M12" s="61" t="n">
        <f aca="false">M9+M10+M11</f>
        <v>542423.62418892</v>
      </c>
      <c r="N12" s="61" t="n">
        <f aca="false">N9+N10+N11</f>
        <v>551568.568255512</v>
      </c>
      <c r="O12" s="61" t="n">
        <f aca="false">O9+O10+O11</f>
        <v>563535.391502256</v>
      </c>
      <c r="P12" s="61" t="n">
        <f aca="false">P9+P10+P11</f>
        <v>574062.633926032</v>
      </c>
      <c r="Q12" s="61" t="n">
        <f aca="false">Q9+Q10+Q11</f>
        <v>594323.093101357</v>
      </c>
      <c r="R12" s="61" t="n">
        <f aca="false">R9+R10+R11</f>
        <v>605590.298865999</v>
      </c>
      <c r="S12" s="61" t="n">
        <f aca="false">S9+S10+S11</f>
        <v>616824.736268837</v>
      </c>
      <c r="T12" s="61" t="n">
        <f aca="false">T9+T10+T11</f>
        <v>627643.771621827</v>
      </c>
      <c r="U12" s="61" t="n">
        <f aca="false">U9+U10+U11</f>
        <v>635477.032242298</v>
      </c>
      <c r="V12" s="61" t="n">
        <f aca="false">V9+V10+V11</f>
        <v>646282.024410461</v>
      </c>
      <c r="W12" s="61" t="n">
        <f aca="false">W9+W10+W11</f>
        <v>655955.613871223</v>
      </c>
      <c r="X12" s="61" t="n">
        <f aca="false">X9+X10+X11</f>
        <v>663792.209589036</v>
      </c>
      <c r="Y12" s="61" t="n">
        <f aca="false">Y9+Y10+Y11</f>
        <v>676100.658698874</v>
      </c>
      <c r="Z12" s="61" t="n">
        <f aca="false">Z9+Z10+Z11</f>
        <v>688634.239087364</v>
      </c>
      <c r="AA12" s="61" t="n">
        <f aca="false">AA9+AA10+AA11</f>
        <v>700227.26126532</v>
      </c>
      <c r="AB12" s="61" t="n">
        <f aca="false">AB9+AB10+AB11</f>
        <v>710061.809331988</v>
      </c>
    </row>
    <row r="13" customFormat="false" ht="15" hidden="false" customHeight="false" outlineLevel="0" collapsed="false">
      <c r="A13" s="28" t="s">
        <v>375</v>
      </c>
      <c r="B13" s="63" t="s">
        <v>51</v>
      </c>
      <c r="C13" s="64" t="n">
        <f aca="false">SUM(E13:P13)</f>
        <v>182921.14375</v>
      </c>
      <c r="D13" s="64" t="n">
        <f aca="false">SUM(Q13:AB13)</f>
        <v>207656.740104167</v>
      </c>
      <c r="E13" s="65" t="n">
        <f aca="false">Billings!E20</f>
        <v>12958.3333333333</v>
      </c>
      <c r="F13" s="65" t="n">
        <f aca="false">Billings!F20</f>
        <v>13591.6666666667</v>
      </c>
      <c r="G13" s="65" t="n">
        <f aca="false">Billings!G20</f>
        <v>13050</v>
      </c>
      <c r="H13" s="65" t="n">
        <f aca="false">Billings!H20</f>
        <v>16025</v>
      </c>
      <c r="I13" s="65" t="n">
        <f aca="false">Billings!I20</f>
        <v>14733.3333333333</v>
      </c>
      <c r="J13" s="65" t="n">
        <f aca="false">Billings!J20</f>
        <v>15566.6666666667</v>
      </c>
      <c r="K13" s="65" t="n">
        <f aca="false">Billings!K20</f>
        <v>15566.6666666667</v>
      </c>
      <c r="L13" s="65" t="n">
        <f aca="false">Billings!L20</f>
        <v>15808.3333333333</v>
      </c>
      <c r="M13" s="65" t="n">
        <f aca="false">Billings!M20</f>
        <v>15488.60625</v>
      </c>
      <c r="N13" s="65" t="n">
        <f aca="false">Billings!N20</f>
        <v>16453.3020833333</v>
      </c>
      <c r="O13" s="65" t="n">
        <f aca="false">Billings!O20</f>
        <v>16315.23125</v>
      </c>
      <c r="P13" s="65" t="n">
        <f aca="false">Billings!P20</f>
        <v>17364.0041666667</v>
      </c>
      <c r="Q13" s="65" t="n">
        <f aca="false">Billings!Q20</f>
        <v>17192.4294791667</v>
      </c>
      <c r="R13" s="65" t="n">
        <f aca="false">Billings!R20</f>
        <v>17835.8827083333</v>
      </c>
      <c r="S13" s="65" t="n">
        <f aca="false">Billings!S20</f>
        <v>17993.8272916667</v>
      </c>
      <c r="T13" s="65" t="n">
        <f aca="false">Billings!T20</f>
        <v>16148.2360416667</v>
      </c>
      <c r="U13" s="65" t="n">
        <f aca="false">Billings!U20</f>
        <v>16427.6447916667</v>
      </c>
      <c r="V13" s="65" t="n">
        <f aca="false">Billings!V20</f>
        <v>17120.184375</v>
      </c>
      <c r="W13" s="65" t="n">
        <f aca="false">Billings!W20</f>
        <v>16555.5626041667</v>
      </c>
      <c r="X13" s="65" t="n">
        <f aca="false">Billings!X20</f>
        <v>16795.5497916667</v>
      </c>
      <c r="Y13" s="65" t="n">
        <f aca="false">Billings!Y20</f>
        <v>17508.7301041667</v>
      </c>
      <c r="Z13" s="65" t="n">
        <f aca="false">Billings!Z20</f>
        <v>18223.6315625</v>
      </c>
      <c r="AA13" s="65" t="n">
        <f aca="false">Billings!AA20</f>
        <v>18034.2280208333</v>
      </c>
      <c r="AB13" s="65" t="n">
        <f aca="false">Billings!AB20</f>
        <v>17820.8333333333</v>
      </c>
    </row>
    <row r="14" customFormat="false" ht="15" hidden="false" customHeight="false" outlineLevel="0" collapsed="false">
      <c r="A14" s="59" t="s">
        <v>376</v>
      </c>
      <c r="B14" s="60"/>
      <c r="C14" s="61" t="n">
        <f aca="false">SUM(E14:P14)</f>
        <v>6425973.04162272</v>
      </c>
      <c r="D14" s="61" t="n">
        <f aca="false">SUM(Q14:AB14)</f>
        <v>8028569.48845875</v>
      </c>
      <c r="E14" s="61" t="n">
        <f aca="false">E12+E13</f>
        <v>485641.093333333</v>
      </c>
      <c r="F14" s="61" t="n">
        <f aca="false">F12+F13</f>
        <v>484887.166666667</v>
      </c>
      <c r="G14" s="61" t="n">
        <f aca="false">G12+G13</f>
        <v>495250.14</v>
      </c>
      <c r="H14" s="61" t="n">
        <f aca="false">H12+H13</f>
        <v>518246.96</v>
      </c>
      <c r="I14" s="61" t="n">
        <f aca="false">I12+I13</f>
        <v>521169.963333333</v>
      </c>
      <c r="J14" s="61" t="n">
        <f aca="false">J12+J13</f>
        <v>529450.706666667</v>
      </c>
      <c r="K14" s="61" t="n">
        <f aca="false">K12+K13</f>
        <v>544833.956666667</v>
      </c>
      <c r="L14" s="61" t="n">
        <f aca="false">L12+L13</f>
        <v>549281.693333333</v>
      </c>
      <c r="M14" s="61" t="n">
        <f aca="false">M12+M13</f>
        <v>557912.23043892</v>
      </c>
      <c r="N14" s="61" t="n">
        <f aca="false">N12+N13</f>
        <v>568021.870338845</v>
      </c>
      <c r="O14" s="61" t="n">
        <f aca="false">O12+O13</f>
        <v>579850.622752256</v>
      </c>
      <c r="P14" s="61" t="n">
        <f aca="false">P12+P13</f>
        <v>591426.638092699</v>
      </c>
      <c r="Q14" s="61" t="n">
        <f aca="false">Q12+Q13</f>
        <v>611515.522580524</v>
      </c>
      <c r="R14" s="61" t="n">
        <f aca="false">R12+R13</f>
        <v>623426.181574332</v>
      </c>
      <c r="S14" s="61" t="n">
        <f aca="false">S12+S13</f>
        <v>634818.563560504</v>
      </c>
      <c r="T14" s="61" t="n">
        <f aca="false">T12+T13</f>
        <v>643792.007663493</v>
      </c>
      <c r="U14" s="61" t="n">
        <f aca="false">U12+U13</f>
        <v>651904.677033965</v>
      </c>
      <c r="V14" s="61" t="n">
        <f aca="false">V12+V13</f>
        <v>663402.208785461</v>
      </c>
      <c r="W14" s="61" t="n">
        <f aca="false">W12+W13</f>
        <v>672511.17647539</v>
      </c>
      <c r="X14" s="61" t="n">
        <f aca="false">X12+X13</f>
        <v>680587.759380703</v>
      </c>
      <c r="Y14" s="61" t="n">
        <f aca="false">Y12+Y13</f>
        <v>693609.388803041</v>
      </c>
      <c r="Z14" s="61" t="n">
        <f aca="false">Z12+Z13</f>
        <v>706857.870649864</v>
      </c>
      <c r="AA14" s="61" t="n">
        <f aca="false">AA12+AA13</f>
        <v>718261.489286153</v>
      </c>
      <c r="AB14" s="61" t="n">
        <f aca="false">AB12+AB13</f>
        <v>727882.642665321</v>
      </c>
    </row>
    <row r="15" customFormat="false" ht="15" hidden="false" customHeight="false" outlineLevel="0" collapsed="false">
      <c r="A15" s="28" t="s">
        <v>377</v>
      </c>
      <c r="B15" s="63"/>
      <c r="F15" s="75" t="n">
        <f aca="false">IF(E14=0,0,F14/E14-1)</f>
        <v>-0.00155243589765408</v>
      </c>
      <c r="G15" s="75" t="n">
        <f aca="false">IF(F14=0,0,G14/F14-1)</f>
        <v>0.0213719274209154</v>
      </c>
      <c r="H15" s="75" t="n">
        <f aca="false">IF(G14=0,0,H14/G14-1)</f>
        <v>0.0464347571915882</v>
      </c>
      <c r="I15" s="75" t="n">
        <f aca="false">IF(H14=0,0,I14/H14-1)</f>
        <v>0.00564017458652022</v>
      </c>
      <c r="J15" s="75" t="n">
        <f aca="false">IF(I14=0,0,J14/I14-1)</f>
        <v>0.01588875782551</v>
      </c>
      <c r="K15" s="75" t="n">
        <f aca="false">IF(J14=0,0,K14/J14-1)</f>
        <v>0.0290551127919922</v>
      </c>
      <c r="L15" s="75" t="n">
        <f aca="false">IF(K14=0,0,L14/K14-1)</f>
        <v>0.00816347184723631</v>
      </c>
      <c r="M15" s="75" t="n">
        <f aca="false">IF(L14=0,0,M14/L14-1)</f>
        <v>0.0157124062395233</v>
      </c>
      <c r="N15" s="75" t="n">
        <f aca="false">IF(M14=0,0,N14/M14-1)</f>
        <v>0.0181204844567962</v>
      </c>
      <c r="O15" s="75" t="n">
        <f aca="false">IF(N14=0,0,O14/N14-1)</f>
        <v>0.0208244665057606</v>
      </c>
      <c r="P15" s="75" t="n">
        <f aca="false">IF(O14=0,0,P14/O14-1)</f>
        <v>0.0199637887521746</v>
      </c>
      <c r="Q15" s="75" t="n">
        <f aca="false">IF(P14=0,0,Q14/P14-1)</f>
        <v>0.0339668239371325</v>
      </c>
      <c r="R15" s="75" t="n">
        <f aca="false">IF(Q14=0,0,R14/Q14-1)</f>
        <v>0.0194772798956055</v>
      </c>
      <c r="S15" s="75" t="n">
        <f aca="false">IF(R14=0,0,S14/R14-1)</f>
        <v>0.0182738266740787</v>
      </c>
      <c r="T15" s="75" t="n">
        <f aca="false">IF(S14=0,0,T14/S14-1)</f>
        <v>0.0141354469104684</v>
      </c>
      <c r="U15" s="75" t="n">
        <f aca="false">IF(T14=0,0,U14/T14-1)</f>
        <v>0.012601382548868</v>
      </c>
      <c r="V15" s="75" t="n">
        <f aca="false">IF(U14=0,0,V14/U14-1)</f>
        <v>0.0176368296724112</v>
      </c>
      <c r="W15" s="75" t="n">
        <f aca="false">IF(V14=0,0,W14/V14-1)</f>
        <v>0.0137306864060727</v>
      </c>
      <c r="X15" s="75" t="n">
        <f aca="false">IF(W14=0,0,X14/W14-1)</f>
        <v>0.0120095891158891</v>
      </c>
      <c r="Y15" s="75" t="n">
        <f aca="false">IF(X14=0,0,Y14/X14-1)</f>
        <v>0.0191329174567976</v>
      </c>
      <c r="Z15" s="75" t="n">
        <f aca="false">IF(Y14=0,0,Z14/Y14-1)</f>
        <v>0.0191007821703308</v>
      </c>
      <c r="AA15" s="75" t="n">
        <f aca="false">IF(Z14=0,0,AA14/Z14-1)</f>
        <v>0.0161328310963065</v>
      </c>
      <c r="AB15" s="75" t="n">
        <f aca="false">IF(AA14=0,0,AB14/AA14-1)</f>
        <v>0.0133950567066186</v>
      </c>
    </row>
    <row r="16" customFormat="false" ht="15" hidden="false" customHeight="false" outlineLevel="0" collapsed="false">
      <c r="A16" s="22" t="s">
        <v>378</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false" outlineLevel="0" collapsed="false">
      <c r="A17" s="28" t="s">
        <v>379</v>
      </c>
      <c r="B17" s="63" t="s">
        <v>76</v>
      </c>
      <c r="C17" s="64" t="n">
        <f aca="false">SUM(E17:P17)</f>
        <v>-330887.836971927</v>
      </c>
      <c r="D17" s="64" t="n">
        <f aca="false">SUM(Q17:AB17)</f>
        <v>-386229.207947347</v>
      </c>
      <c r="E17" s="65" t="n">
        <f aca="false">-Overheads!E9</f>
        <v>-26351.2</v>
      </c>
      <c r="F17" s="65" t="n">
        <f aca="false">-Overheads!F9</f>
        <v>-26794.29</v>
      </c>
      <c r="G17" s="65" t="n">
        <f aca="false">-Overheads!G9</f>
        <v>-25378.6</v>
      </c>
      <c r="H17" s="65" t="n">
        <f aca="false">-Overheads!H9</f>
        <v>-26564.07</v>
      </c>
      <c r="I17" s="65" t="n">
        <f aca="false">-Overheads!I9</f>
        <v>-27185.07</v>
      </c>
      <c r="J17" s="65" t="n">
        <f aca="false">-Overheads!J9</f>
        <v>-27866.41</v>
      </c>
      <c r="K17" s="65" t="n">
        <f aca="false">-Overheads!K9</f>
        <v>-26930.58</v>
      </c>
      <c r="L17" s="65" t="n">
        <f aca="false">-Overheads!L9</f>
        <v>-28406.73</v>
      </c>
      <c r="M17" s="65" t="n">
        <f aca="false">-Overheads!M9</f>
        <v>-28357.5559740454</v>
      </c>
      <c r="N17" s="65" t="n">
        <f aca="false">-Overheads!N9</f>
        <v>-28650.1941841764</v>
      </c>
      <c r="O17" s="65" t="n">
        <f aca="false">-Overheads!O9</f>
        <v>-29033.1325280722</v>
      </c>
      <c r="P17" s="65" t="n">
        <f aca="false">-Overheads!P9</f>
        <v>-29370.004285633</v>
      </c>
      <c r="Q17" s="65" t="n">
        <f aca="false">-Overheads!Q9</f>
        <v>-30348.3389792434</v>
      </c>
      <c r="R17" s="65" t="n">
        <f aca="false">-Overheads!R9</f>
        <v>-30708.889563712</v>
      </c>
      <c r="S17" s="65" t="n">
        <f aca="false">-Overheads!S9</f>
        <v>-31068.3915606028</v>
      </c>
      <c r="T17" s="65" t="n">
        <f aca="false">-Overheads!T9</f>
        <v>-31414.6006918984</v>
      </c>
      <c r="U17" s="65" t="n">
        <f aca="false">-Overheads!U9</f>
        <v>-31665.2650317535</v>
      </c>
      <c r="V17" s="65" t="n">
        <f aca="false">-Overheads!V9</f>
        <v>-32011.0247811347</v>
      </c>
      <c r="W17" s="65" t="n">
        <f aca="false">-Overheads!W9</f>
        <v>-32320.5796438791</v>
      </c>
      <c r="X17" s="65" t="n">
        <f aca="false">-Overheads!X9</f>
        <v>-32571.3507068492</v>
      </c>
      <c r="Y17" s="65" t="n">
        <f aca="false">-Overheads!Y9</f>
        <v>-32965.221078364</v>
      </c>
      <c r="Z17" s="65" t="n">
        <f aca="false">-Overheads!Z9</f>
        <v>-33366.2956507956</v>
      </c>
      <c r="AA17" s="65" t="n">
        <f aca="false">-Overheads!AA9</f>
        <v>-33737.2723604902</v>
      </c>
      <c r="AB17" s="65" t="n">
        <f aca="false">-Overheads!AB9</f>
        <v>-34051.9778986236</v>
      </c>
    </row>
    <row r="18" customFormat="false" ht="15" hidden="false" customHeight="false" outlineLevel="0" collapsed="false">
      <c r="A18" s="28" t="s">
        <v>380</v>
      </c>
      <c r="B18" s="63" t="s">
        <v>76</v>
      </c>
      <c r="C18" s="64" t="n">
        <f aca="false">SUM(E18:P18)</f>
        <v>-99630.4734859635</v>
      </c>
      <c r="D18" s="64" t="n">
        <f aca="false">SUM(Q18:AB18)</f>
        <v>-125134.603973673</v>
      </c>
      <c r="E18" s="65" t="n">
        <f aca="false">-Overheads!E10</f>
        <v>-7447.06</v>
      </c>
      <c r="F18" s="65" t="n">
        <f aca="false">-Overheads!F10</f>
        <v>-7792.37</v>
      </c>
      <c r="G18" s="65" t="n">
        <f aca="false">-Overheads!G10</f>
        <v>-7831.25</v>
      </c>
      <c r="H18" s="65" t="n">
        <f aca="false">-Overheads!H10</f>
        <v>-8070.86</v>
      </c>
      <c r="I18" s="65" t="n">
        <f aca="false">-Overheads!I10</f>
        <v>-7522.82</v>
      </c>
      <c r="J18" s="65" t="n">
        <f aca="false">-Overheads!J10</f>
        <v>-8424.19</v>
      </c>
      <c r="K18" s="65" t="n">
        <f aca="false">-Overheads!K10</f>
        <v>-8155.52</v>
      </c>
      <c r="L18" s="65" t="n">
        <f aca="false">-Overheads!L10</f>
        <v>-8680.96</v>
      </c>
      <c r="M18" s="65" t="n">
        <f aca="false">-Overheads!M10</f>
        <v>-8678.77798702272</v>
      </c>
      <c r="N18" s="65" t="n">
        <f aca="false">-Overheads!N10</f>
        <v>-8825.09709208819</v>
      </c>
      <c r="O18" s="65" t="n">
        <f aca="false">-Overheads!O10</f>
        <v>-9016.56626403609</v>
      </c>
      <c r="P18" s="65" t="n">
        <f aca="false">-Overheads!P10</f>
        <v>-9185.00214281651</v>
      </c>
      <c r="Q18" s="65" t="n">
        <f aca="false">-Overheads!Q10</f>
        <v>-9509.16948962171</v>
      </c>
      <c r="R18" s="65" t="n">
        <f aca="false">-Overheads!R10</f>
        <v>-9689.44478185598</v>
      </c>
      <c r="S18" s="65" t="n">
        <f aca="false">-Overheads!S10</f>
        <v>-9869.1957803014</v>
      </c>
      <c r="T18" s="65" t="n">
        <f aca="false">-Overheads!T10</f>
        <v>-10042.3003459492</v>
      </c>
      <c r="U18" s="65" t="n">
        <f aca="false">-Overheads!U10</f>
        <v>-10167.6325158768</v>
      </c>
      <c r="V18" s="65" t="n">
        <f aca="false">-Overheads!V10</f>
        <v>-10340.5123905674</v>
      </c>
      <c r="W18" s="65" t="n">
        <f aca="false">-Overheads!W10</f>
        <v>-10495.2898219396</v>
      </c>
      <c r="X18" s="65" t="n">
        <f aca="false">-Overheads!X10</f>
        <v>-10620.6753534246</v>
      </c>
      <c r="Y18" s="65" t="n">
        <f aca="false">-Overheads!Y10</f>
        <v>-10817.610539182</v>
      </c>
      <c r="Z18" s="65" t="n">
        <f aca="false">-Overheads!Z10</f>
        <v>-11018.1478253978</v>
      </c>
      <c r="AA18" s="65" t="n">
        <f aca="false">-Overheads!AA10</f>
        <v>-11203.6361802451</v>
      </c>
      <c r="AB18" s="65" t="n">
        <f aca="false">-Overheads!AB10</f>
        <v>-11360.9889493118</v>
      </c>
    </row>
    <row r="19" customFormat="false" ht="15" hidden="false" customHeight="false" outlineLevel="0" collapsed="false">
      <c r="A19" s="28" t="s">
        <v>381</v>
      </c>
      <c r="B19" s="63" t="s">
        <v>64</v>
      </c>
      <c r="C19" s="64" t="n">
        <f aca="false">SUM(E19:P19)</f>
        <v>-68665.6094816016</v>
      </c>
      <c r="D19" s="64" t="n">
        <f aca="false">SUM(Q19:AB19)</f>
        <v>-84973.597129163</v>
      </c>
      <c r="E19" s="65" t="n">
        <f aca="false">-Receivables!E10</f>
        <v>-5149.47</v>
      </c>
      <c r="F19" s="65" t="n">
        <f aca="false">-Receivables!F10</f>
        <v>-5352.17</v>
      </c>
      <c r="G19" s="65" t="n">
        <f aca="false">-Receivables!G10</f>
        <v>-5467.58</v>
      </c>
      <c r="H19" s="65" t="n">
        <f aca="false">-Receivables!H10</f>
        <v>-5531.17</v>
      </c>
      <c r="I19" s="65" t="n">
        <f aca="false">-Receivables!I10</f>
        <v>-5503.9</v>
      </c>
      <c r="J19" s="65" t="n">
        <f aca="false">-Receivables!J10</f>
        <v>-5755</v>
      </c>
      <c r="K19" s="65" t="n">
        <f aca="false">-Receivables!K10</f>
        <v>-5828.69</v>
      </c>
      <c r="L19" s="65" t="n">
        <f aca="false">-Receivables!L10</f>
        <v>-5825</v>
      </c>
      <c r="M19" s="65" t="n">
        <f aca="false">-Receivables!M10</f>
        <v>-5914.23495025313</v>
      </c>
      <c r="N19" s="65" t="n">
        <f aca="false">-Receivables!N10</f>
        <v>-6029.69575295498</v>
      </c>
      <c r="O19" s="65" t="n">
        <f aca="false">-Receivables!O10</f>
        <v>-6124.28677209225</v>
      </c>
      <c r="P19" s="65" t="n">
        <f aca="false">-Receivables!P10</f>
        <v>-6184.41200630122</v>
      </c>
      <c r="Q19" s="65" t="n">
        <f aca="false">-Receivables!Q10</f>
        <v>-6619.48539583021</v>
      </c>
      <c r="R19" s="65" t="n">
        <f aca="false">-Receivables!R10</f>
        <v>-6725.63147480866</v>
      </c>
      <c r="S19" s="65" t="n">
        <f aca="false">-Receivables!S10</f>
        <v>-6824.2755601712</v>
      </c>
      <c r="T19" s="65" t="n">
        <f aca="false">-Receivables!T10</f>
        <v>-6911.31380641279</v>
      </c>
      <c r="U19" s="65" t="n">
        <f aca="false">-Receivables!U10</f>
        <v>-6997.66219384704</v>
      </c>
      <c r="V19" s="65" t="n">
        <f aca="false">-Receivables!V10</f>
        <v>-7072.91957844002</v>
      </c>
      <c r="W19" s="65" t="n">
        <f aca="false">-Receivables!W10</f>
        <v>-7127.89124777237</v>
      </c>
      <c r="X19" s="65" t="n">
        <f aca="false">-Receivables!X10</f>
        <v>-7149.23293289981</v>
      </c>
      <c r="Y19" s="65" t="n">
        <f aca="false">-Receivables!Y10</f>
        <v>-7250.45216672875</v>
      </c>
      <c r="Z19" s="65" t="n">
        <f aca="false">-Receivables!Z10</f>
        <v>-7357.88484331596</v>
      </c>
      <c r="AA19" s="65" t="n">
        <f aca="false">-Receivables!AA10</f>
        <v>-7443.42751499036</v>
      </c>
      <c r="AB19" s="65" t="n">
        <f aca="false">-Receivables!AB10</f>
        <v>-7493.4204139458</v>
      </c>
    </row>
    <row r="20" customFormat="false" ht="15" hidden="false" customHeight="false" outlineLevel="0" collapsed="false">
      <c r="A20" s="28" t="s">
        <v>382</v>
      </c>
      <c r="B20" s="63" t="s">
        <v>60</v>
      </c>
      <c r="C20" s="64" t="n">
        <f aca="false">SUM(E20:P20)</f>
        <v>-891404.637315452</v>
      </c>
      <c r="D20" s="64" t="n">
        <f aca="false">SUM(Q20:AB20)</f>
        <v>-1081366.48823799</v>
      </c>
      <c r="E20" s="65" t="n">
        <f aca="false">-(People!E142+People!E152+People!E162)</f>
        <v>-67357.18</v>
      </c>
      <c r="F20" s="65" t="n">
        <f aca="false">-(People!F142+People!F152+People!F162)</f>
        <v>-67337.25</v>
      </c>
      <c r="G20" s="65" t="n">
        <f aca="false">-(People!G142+People!G152+People!G162)</f>
        <v>-67340.37</v>
      </c>
      <c r="H20" s="65" t="n">
        <f aca="false">-(People!H142+People!H152+People!H162)</f>
        <v>-71393.54</v>
      </c>
      <c r="I20" s="65" t="n">
        <f aca="false">-(People!I142+People!I152+People!I162)</f>
        <v>-74413.05</v>
      </c>
      <c r="J20" s="65" t="n">
        <f aca="false">-(People!J142+People!J152+People!J162)</f>
        <v>-78884.22</v>
      </c>
      <c r="K20" s="65" t="n">
        <f aca="false">-(People!K142+People!K152+People!K162)</f>
        <v>-78869.07</v>
      </c>
      <c r="L20" s="65" t="n">
        <f aca="false">-(People!L142+People!L152+People!L162)</f>
        <v>-76052.04</v>
      </c>
      <c r="M20" s="65" t="n">
        <f aca="false">-(People!M142+People!M152+People!M162)</f>
        <v>-74838.196875</v>
      </c>
      <c r="N20" s="65" t="n">
        <f aca="false">-(People!N142+People!N152+People!N162)</f>
        <v>-78333.8741015625</v>
      </c>
      <c r="O20" s="65" t="n">
        <f aca="false">-(People!O142+People!O152+People!O162)</f>
        <v>-78312.7021401367</v>
      </c>
      <c r="P20" s="65" t="n">
        <f aca="false">-(People!P142+People!P152+People!P162)</f>
        <v>-78273.1441987529</v>
      </c>
      <c r="Q20" s="65" t="n">
        <f aca="false">-(People!Q142+People!Q152+People!Q162)</f>
        <v>-81062.2733780279</v>
      </c>
      <c r="R20" s="65" t="n">
        <f aca="false">-(People!R142+People!R152+People!R162)</f>
        <v>-81062.7007352242</v>
      </c>
      <c r="S20" s="65" t="n">
        <f aca="false">-(People!S142+People!S152+People!S162)</f>
        <v>-88361.791858203</v>
      </c>
      <c r="T20" s="65" t="n">
        <f aca="false">-(People!T142+People!T152+People!T162)</f>
        <v>-88244.8884743298</v>
      </c>
      <c r="U20" s="65" t="n">
        <f aca="false">-(People!U142+People!U152+People!U162)</f>
        <v>-92920.0164173774</v>
      </c>
      <c r="V20" s="65" t="n">
        <f aca="false">-(People!V142+People!V152+People!V162)</f>
        <v>-92864.096649202</v>
      </c>
      <c r="W20" s="65" t="n">
        <f aca="false">-(People!W142+People!W152+People!W162)</f>
        <v>-92806.8579724619</v>
      </c>
      <c r="X20" s="65" t="n">
        <f aca="false">-(People!X142+People!X152+People!X162)</f>
        <v>-92808.2399641846</v>
      </c>
      <c r="Y20" s="65" t="n">
        <f aca="false">-(People!Y142+People!Y152+People!Y162)</f>
        <v>-92808.9284032346</v>
      </c>
      <c r="Z20" s="65" t="n">
        <f aca="false">-(People!Z142+People!Z152+People!Z162)</f>
        <v>-92808.9034032323</v>
      </c>
      <c r="AA20" s="65" t="n">
        <f aca="false">-(People!AA142+People!AA152+People!AA162)</f>
        <v>-92808.8952954344</v>
      </c>
      <c r="AB20" s="65" t="n">
        <f aca="false">-(People!AB142+People!AB152+People!AB162)</f>
        <v>-92808.8956870825</v>
      </c>
    </row>
    <row r="21" customFormat="false" ht="15" hidden="false" customHeight="false" outlineLevel="0" collapsed="false">
      <c r="A21" s="59" t="s">
        <v>383</v>
      </c>
      <c r="B21" s="60"/>
      <c r="C21" s="61" t="n">
        <f aca="false">SUM(E21:P21)</f>
        <v>-1390588.55725494</v>
      </c>
      <c r="D21" s="61" t="n">
        <f aca="false">SUM(Q21:AB21)</f>
        <v>-1677703.89728818</v>
      </c>
      <c r="E21" s="61" t="n">
        <f aca="false">SUM(E17:E20)</f>
        <v>-106304.91</v>
      </c>
      <c r="F21" s="61" t="n">
        <f aca="false">SUM(F17:F20)</f>
        <v>-107276.08</v>
      </c>
      <c r="G21" s="61" t="n">
        <f aca="false">SUM(G17:G20)</f>
        <v>-106017.8</v>
      </c>
      <c r="H21" s="61" t="n">
        <f aca="false">SUM(H17:H20)</f>
        <v>-111559.64</v>
      </c>
      <c r="I21" s="61" t="n">
        <f aca="false">SUM(I17:I20)</f>
        <v>-114624.84</v>
      </c>
      <c r="J21" s="61" t="n">
        <f aca="false">SUM(J17:J20)</f>
        <v>-120929.82</v>
      </c>
      <c r="K21" s="61" t="n">
        <f aca="false">SUM(K17:K20)</f>
        <v>-119783.86</v>
      </c>
      <c r="L21" s="61" t="n">
        <f aca="false">SUM(L17:L20)</f>
        <v>-118964.73</v>
      </c>
      <c r="M21" s="61" t="n">
        <f aca="false">SUM(M17:M20)</f>
        <v>-117788.765786321</v>
      </c>
      <c r="N21" s="61" t="n">
        <f aca="false">SUM(N17:N20)</f>
        <v>-121838.861130782</v>
      </c>
      <c r="O21" s="61" t="n">
        <f aca="false">SUM(O17:O20)</f>
        <v>-122486.687704337</v>
      </c>
      <c r="P21" s="61" t="n">
        <f aca="false">SUM(P17:P20)</f>
        <v>-123012.562633504</v>
      </c>
      <c r="Q21" s="61" t="n">
        <f aca="false">SUM(Q17:Q20)</f>
        <v>-127539.267242723</v>
      </c>
      <c r="R21" s="61" t="n">
        <f aca="false">SUM(R17:R20)</f>
        <v>-128186.666555601</v>
      </c>
      <c r="S21" s="61" t="n">
        <f aca="false">SUM(S17:S20)</f>
        <v>-136123.654759278</v>
      </c>
      <c r="T21" s="61" t="n">
        <f aca="false">SUM(T17:T20)</f>
        <v>-136613.10331859</v>
      </c>
      <c r="U21" s="61" t="n">
        <f aca="false">SUM(U17:U20)</f>
        <v>-141750.576158855</v>
      </c>
      <c r="V21" s="61" t="n">
        <f aca="false">SUM(V17:V20)</f>
        <v>-142288.553399344</v>
      </c>
      <c r="W21" s="61" t="n">
        <f aca="false">SUM(W17:W20)</f>
        <v>-142750.618686053</v>
      </c>
      <c r="X21" s="61" t="n">
        <f aca="false">SUM(X17:X20)</f>
        <v>-143149.498957358</v>
      </c>
      <c r="Y21" s="61" t="n">
        <f aca="false">SUM(Y17:Y20)</f>
        <v>-143842.212187509</v>
      </c>
      <c r="Z21" s="61" t="n">
        <f aca="false">SUM(Z17:Z20)</f>
        <v>-144551.231722742</v>
      </c>
      <c r="AA21" s="61" t="n">
        <f aca="false">SUM(AA17:AA20)</f>
        <v>-145193.23135116</v>
      </c>
      <c r="AB21" s="61" t="n">
        <f aca="false">SUM(AB17:AB20)</f>
        <v>-145715.282948964</v>
      </c>
    </row>
    <row r="22" customFormat="false" ht="15" hidden="false" customHeight="false" outlineLevel="0" collapsed="false">
      <c r="A22" s="59" t="s">
        <v>384</v>
      </c>
      <c r="B22" s="60" t="s">
        <v>385</v>
      </c>
      <c r="C22" s="61" t="n">
        <f aca="false">SUM(E22:P22)</f>
        <v>5035384.48436778</v>
      </c>
      <c r="D22" s="61" t="n">
        <f aca="false">SUM(Q22:AB22)</f>
        <v>6350865.59117057</v>
      </c>
      <c r="E22" s="61" t="n">
        <f aca="false">E14+E21</f>
        <v>379336.183333333</v>
      </c>
      <c r="F22" s="61" t="n">
        <f aca="false">F14+F21</f>
        <v>377611.086666667</v>
      </c>
      <c r="G22" s="61" t="n">
        <f aca="false">G14+G21</f>
        <v>389232.34</v>
      </c>
      <c r="H22" s="61" t="n">
        <f aca="false">H14+H21</f>
        <v>406687.32</v>
      </c>
      <c r="I22" s="61" t="n">
        <f aca="false">I14+I21</f>
        <v>406545.123333333</v>
      </c>
      <c r="J22" s="61" t="n">
        <f aca="false">J14+J21</f>
        <v>408520.886666667</v>
      </c>
      <c r="K22" s="61" t="n">
        <f aca="false">K14+K21</f>
        <v>425050.096666667</v>
      </c>
      <c r="L22" s="61" t="n">
        <f aca="false">L14+L21</f>
        <v>430316.963333333</v>
      </c>
      <c r="M22" s="61" t="n">
        <f aca="false">M14+M21</f>
        <v>440123.464652599</v>
      </c>
      <c r="N22" s="61" t="n">
        <f aca="false">N14+N21</f>
        <v>446183.009208063</v>
      </c>
      <c r="O22" s="61" t="n">
        <f aca="false">O14+O21</f>
        <v>457363.935047919</v>
      </c>
      <c r="P22" s="61" t="n">
        <f aca="false">P14+P21</f>
        <v>468414.075459195</v>
      </c>
      <c r="Q22" s="61" t="n">
        <f aca="false">Q14+Q21</f>
        <v>483976.2553378</v>
      </c>
      <c r="R22" s="61" t="n">
        <f aca="false">R14+R21</f>
        <v>495239.515018731</v>
      </c>
      <c r="S22" s="61" t="n">
        <f aca="false">S14+S21</f>
        <v>498694.908801226</v>
      </c>
      <c r="T22" s="61" t="n">
        <f aca="false">T14+T21</f>
        <v>507178.904344903</v>
      </c>
      <c r="U22" s="61" t="n">
        <f aca="false">U14+U21</f>
        <v>510154.10087511</v>
      </c>
      <c r="V22" s="61" t="n">
        <f aca="false">V14+V21</f>
        <v>521113.655386117</v>
      </c>
      <c r="W22" s="61" t="n">
        <f aca="false">W14+W21</f>
        <v>529760.557789337</v>
      </c>
      <c r="X22" s="61" t="n">
        <f aca="false">X14+X21</f>
        <v>537438.260423345</v>
      </c>
      <c r="Y22" s="61" t="n">
        <f aca="false">Y14+Y21</f>
        <v>549767.176615531</v>
      </c>
      <c r="Z22" s="61" t="n">
        <f aca="false">Z14+Z21</f>
        <v>562306.638927122</v>
      </c>
      <c r="AA22" s="61" t="n">
        <f aca="false">AA14+AA21</f>
        <v>573068.257934993</v>
      </c>
      <c r="AB22" s="61" t="n">
        <f aca="false">AB14+AB21</f>
        <v>582167.359716357</v>
      </c>
    </row>
    <row r="23" customFormat="false" ht="15" hidden="false" customHeight="false" outlineLevel="0" collapsed="false">
      <c r="A23" s="28" t="s">
        <v>386</v>
      </c>
      <c r="B23" s="63"/>
      <c r="C23" s="66" t="n">
        <f aca="false">IF(C14=0,0,C22/C14)</f>
        <v>0.783598756445485</v>
      </c>
      <c r="D23" s="66" t="n">
        <f aca="false">IF(D14=0,0,D22/D14)</f>
        <v>0.7910332719048</v>
      </c>
      <c r="E23" s="75" t="n">
        <f aca="false">IF(E14=0,0,E22/E14)</f>
        <v>0.781103964513492</v>
      </c>
      <c r="F23" s="75" t="n">
        <f aca="false">IF(F14=0,0,F22/F14)</f>
        <v>0.778760735745051</v>
      </c>
      <c r="G23" s="75" t="n">
        <f aca="false">IF(G14=0,0,G22/G14)</f>
        <v>0.785930802563731</v>
      </c>
      <c r="H23" s="75" t="n">
        <f aca="false">IF(H14=0,0,H22/H14)</f>
        <v>0.784736527928693</v>
      </c>
      <c r="I23" s="75" t="n">
        <f aca="false">IF(I14=0,0,I22/I14)</f>
        <v>0.780062459342678</v>
      </c>
      <c r="J23" s="75" t="n">
        <f aca="false">IF(J14=0,0,J22/J14)</f>
        <v>0.771593807549424</v>
      </c>
      <c r="K23" s="75" t="n">
        <f aca="false">IF(K14=0,0,K22/K14)</f>
        <v>0.780146118768283</v>
      </c>
      <c r="L23" s="75" t="n">
        <f aca="false">IF(L14=0,0,L22/L14)</f>
        <v>0.783417631710865</v>
      </c>
      <c r="M23" s="75" t="n">
        <f aca="false">IF(M14=0,0,M22/M14)</f>
        <v>0.788875813506267</v>
      </c>
      <c r="N23" s="75" t="n">
        <f aca="false">IF(N14=0,0,N22/N14)</f>
        <v>0.785503221807109</v>
      </c>
      <c r="O23" s="75" t="n">
        <f aca="false">IF(O14=0,0,O22/O14)</f>
        <v>0.788761651883799</v>
      </c>
      <c r="P23" s="75" t="n">
        <f aca="false">IF(P14=0,0,P22/P14)</f>
        <v>0.792007064426099</v>
      </c>
      <c r="Q23" s="75" t="n">
        <f aca="false">IF(Q14=0,0,Q22/Q14)</f>
        <v>0.791437400142318</v>
      </c>
      <c r="R23" s="75" t="n">
        <f aca="false">IF(R14=0,0,R22/R14)</f>
        <v>0.794383568826236</v>
      </c>
      <c r="S23" s="75" t="n">
        <f aca="false">IF(S14=0,0,S22/S14)</f>
        <v>0.78557077159842</v>
      </c>
      <c r="T23" s="75" t="n">
        <f aca="false">IF(T14=0,0,T22/T14)</f>
        <v>0.78779931764857</v>
      </c>
      <c r="U23" s="75" t="n">
        <f aca="false">IF(U14=0,0,U22/U14)</f>
        <v>0.782559350848975</v>
      </c>
      <c r="V23" s="75" t="n">
        <f aca="false">IF(V14=0,0,V22/V14)</f>
        <v>0.785516913397316</v>
      </c>
      <c r="W23" s="75" t="n">
        <f aca="false">IF(W14=0,0,W22/W14)</f>
        <v>0.787734949723506</v>
      </c>
      <c r="X23" s="75" t="n">
        <f aca="false">IF(X14=0,0,X22/X14)</f>
        <v>0.789667831981556</v>
      </c>
      <c r="Y23" s="75" t="n">
        <f aca="false">IF(Y14=0,0,Y22/Y14)</f>
        <v>0.792617841526428</v>
      </c>
      <c r="Z23" s="75" t="n">
        <f aca="false">IF(Z14=0,0,Z22/Z14)</f>
        <v>0.795501701650651</v>
      </c>
      <c r="AA23" s="75" t="n">
        <f aca="false">IF(AA14=0,0,AA22/AA14)</f>
        <v>0.797854634395809</v>
      </c>
      <c r="AB23" s="75" t="n">
        <f aca="false">IF(AB14=0,0,AB22/AB14)</f>
        <v>0.79980937254474</v>
      </c>
    </row>
    <row r="24" customFormat="false" ht="15" hidden="false" customHeight="false" outlineLevel="0" collapsed="false">
      <c r="A24" s="22" t="s">
        <v>387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customFormat="false" ht="15" hidden="false" customHeight="false" outlineLevel="0" collapsed="false">
      <c r="A25" s="28" t="s">
        <v>388</v>
      </c>
      <c r="B25" s="63" t="s">
        <v>60</v>
      </c>
      <c r="C25" s="64" t="n">
        <f aca="false">SUM(E25:P25)</f>
        <v>-2561634.00068412</v>
      </c>
      <c r="D25" s="64" t="n">
        <f aca="false">SUM(Q25:AB25)</f>
        <v>-3054733.28037629</v>
      </c>
      <c r="E25" s="65" t="n">
        <f aca="false">-(People!E122+People!E132)</f>
        <v>-200680.18</v>
      </c>
      <c r="F25" s="65" t="n">
        <f aca="false">-(People!F122+People!F132)</f>
        <v>-205780.34</v>
      </c>
      <c r="G25" s="65" t="n">
        <f aca="false">-(People!G122+People!G132)</f>
        <v>-211587.82</v>
      </c>
      <c r="H25" s="65" t="n">
        <f aca="false">-(People!H122+People!H132)</f>
        <v>-212851.18</v>
      </c>
      <c r="I25" s="65" t="n">
        <f aca="false">-(People!I122+People!I132)</f>
        <v>-216526.75</v>
      </c>
      <c r="J25" s="65" t="n">
        <f aca="false">-(People!J122+People!J132)</f>
        <v>-216650.6</v>
      </c>
      <c r="K25" s="65" t="n">
        <f aca="false">-(People!K122+People!K132)</f>
        <v>-215186.5</v>
      </c>
      <c r="L25" s="65" t="n">
        <f aca="false">-(People!L122+People!L132)</f>
        <v>-215768.42</v>
      </c>
      <c r="M25" s="65" t="n">
        <f aca="false">-(People!M122+People!M132)</f>
        <v>-218235.55654028</v>
      </c>
      <c r="N25" s="65" t="n">
        <f aca="false">-(People!N122+People!N132)</f>
        <v>-216120.363459252</v>
      </c>
      <c r="O25" s="65" t="n">
        <f aca="false">-(People!O122+People!O132)</f>
        <v>-216112.806753385</v>
      </c>
      <c r="P25" s="65" t="n">
        <f aca="false">-(People!P122+People!P132)</f>
        <v>-216133.483931201</v>
      </c>
      <c r="Q25" s="65" t="n">
        <f aca="false">-(People!Q122+People!Q132)</f>
        <v>-248943.999858751</v>
      </c>
      <c r="R25" s="65" t="n">
        <f aca="false">-(People!R122+People!R132)</f>
        <v>-248704.289957063</v>
      </c>
      <c r="S25" s="65" t="n">
        <f aca="false">-(People!S122+People!S132)</f>
        <v>-248467.09148416</v>
      </c>
      <c r="T25" s="65" t="n">
        <f aca="false">-(People!T122+People!T132)</f>
        <v>-253489.799742034</v>
      </c>
      <c r="U25" s="65" t="n">
        <f aca="false">-(People!U122+People!U132)</f>
        <v>-253441.851974915</v>
      </c>
      <c r="V25" s="65" t="n">
        <f aca="false">-(People!V122+People!V132)</f>
        <v>-253392.106719967</v>
      </c>
      <c r="W25" s="65" t="n">
        <f aca="false">-(People!W122+People!W132)</f>
        <v>-253393.084402849</v>
      </c>
      <c r="X25" s="65" t="n">
        <f aca="false">-(People!X122+People!X132)</f>
        <v>-253393.572052714</v>
      </c>
      <c r="Y25" s="65" t="n">
        <f aca="false">-(People!Y122+People!Y132)</f>
        <v>-260464.55664333</v>
      </c>
      <c r="Z25" s="65" t="n">
        <f aca="false">-(People!Z122+People!Z132)</f>
        <v>-260393.841921191</v>
      </c>
      <c r="AA25" s="65" t="n">
        <f aca="false">-(People!AA122+People!AA132)</f>
        <v>-260323.839222554</v>
      </c>
      <c r="AB25" s="65" t="n">
        <f aca="false">-(People!AB122+People!AB132)</f>
        <v>-260325.24639676</v>
      </c>
    </row>
    <row r="26" customFormat="false" ht="15" hidden="false" customHeight="false" outlineLevel="0" collapsed="false">
      <c r="A26" s="28" t="s">
        <v>389</v>
      </c>
      <c r="B26" s="63" t="s">
        <v>62</v>
      </c>
      <c r="C26" s="64" t="n">
        <f aca="false">SUM(E26:P26)</f>
        <v>664452.381782249</v>
      </c>
      <c r="D26" s="64" t="n">
        <f aca="false">SUM(Q26:AB26)</f>
        <v>792662.928074075</v>
      </c>
      <c r="E26" s="65" t="n">
        <f aca="false">Capitalised_Costs!E9</f>
        <v>51201.84</v>
      </c>
      <c r="F26" s="65" t="n">
        <f aca="false">Capitalised_Costs!F9</f>
        <v>52861.28</v>
      </c>
      <c r="G26" s="65" t="n">
        <f aca="false">Capitalised_Costs!G9</f>
        <v>54702.12</v>
      </c>
      <c r="H26" s="65" t="n">
        <f aca="false">Capitalised_Costs!H9</f>
        <v>55111.3</v>
      </c>
      <c r="I26" s="65" t="n">
        <f aca="false">Capitalised_Costs!I9</f>
        <v>56274.22</v>
      </c>
      <c r="J26" s="65" t="n">
        <f aca="false">Capitalised_Costs!J9</f>
        <v>56334.75</v>
      </c>
      <c r="K26" s="65" t="n">
        <f aca="false">Capitalised_Costs!K9</f>
        <v>55867.45</v>
      </c>
      <c r="L26" s="65" t="n">
        <f aca="false">Capitalised_Costs!L9</f>
        <v>56049.6</v>
      </c>
      <c r="M26" s="65" t="n">
        <f aca="false">Capitalised_Costs!M9</f>
        <v>56940.1810928896</v>
      </c>
      <c r="N26" s="65" t="n">
        <f aca="false">Capitalised_Costs!N9</f>
        <v>56370.7792819607</v>
      </c>
      <c r="O26" s="65" t="n">
        <f aca="false">Capitalised_Costs!O9</f>
        <v>56366.5626112915</v>
      </c>
      <c r="P26" s="65" t="n">
        <f aca="false">Capitalised_Costs!P9</f>
        <v>56372.2987961075</v>
      </c>
      <c r="Q26" s="65" t="n">
        <f aca="false">Capitalised_Costs!Q9</f>
        <v>64226.2796790597</v>
      </c>
      <c r="R26" s="65" t="n">
        <f aca="false">Capitalised_Costs!R9</f>
        <v>64167.8276568616</v>
      </c>
      <c r="S26" s="65" t="n">
        <f aca="false">Capitalised_Costs!S9</f>
        <v>64110.0195666408</v>
      </c>
      <c r="T26" s="65" t="n">
        <f aca="false">Capitalised_Costs!T9</f>
        <v>65716.983287765</v>
      </c>
      <c r="U26" s="65" t="n">
        <f aca="false">Capitalised_Costs!U9</f>
        <v>65701.4917314559</v>
      </c>
      <c r="V26" s="65" t="n">
        <f aca="false">Capitalised_Costs!V9</f>
        <v>65685.5770098078</v>
      </c>
      <c r="W26" s="65" t="n">
        <f aca="false">Capitalised_Costs!W9</f>
        <v>65685.8910725874</v>
      </c>
      <c r="X26" s="65" t="n">
        <f aca="false">Capitalised_Costs!X9</f>
        <v>65686.047079176</v>
      </c>
      <c r="Y26" s="65" t="n">
        <f aca="false">Capitalised_Costs!Y9</f>
        <v>67948.7621384824</v>
      </c>
      <c r="Z26" s="65" t="n">
        <f aca="false">Capitalised_Costs!Z9</f>
        <v>67926.1334278234</v>
      </c>
      <c r="AA26" s="65" t="n">
        <f aca="false">Capitalised_Costs!AA9</f>
        <v>67903.7325643369</v>
      </c>
      <c r="AB26" s="65" t="n">
        <f aca="false">Capitalised_Costs!AB9</f>
        <v>67904.1828600784</v>
      </c>
    </row>
    <row r="27" customFormat="false" ht="15" hidden="false" customHeight="false" outlineLevel="0" collapsed="false">
      <c r="A27" s="28" t="s">
        <v>390</v>
      </c>
      <c r="B27" s="63" t="s">
        <v>60</v>
      </c>
      <c r="C27" s="64" t="n">
        <f aca="false">SUM(E27:P27)</f>
        <v>-1240782.39996435</v>
      </c>
      <c r="D27" s="64" t="n">
        <f aca="false">SUM(Q27:AB27)</f>
        <v>-1499334.92776172</v>
      </c>
      <c r="E27" s="65" t="n">
        <f aca="false">-(People!E172+People!E182)</f>
        <v>-94627.9</v>
      </c>
      <c r="F27" s="65" t="n">
        <f aca="false">-(People!F172+People!F182)</f>
        <v>-99744.3</v>
      </c>
      <c r="G27" s="65" t="n">
        <f aca="false">-(People!G172+People!G182)</f>
        <v>-102857.49</v>
      </c>
      <c r="H27" s="65" t="n">
        <f aca="false">-(People!H172+People!H182)</f>
        <v>-108082.56</v>
      </c>
      <c r="I27" s="65" t="n">
        <f aca="false">-(People!I172+People!I182)</f>
        <v>-107934.2</v>
      </c>
      <c r="J27" s="65" t="n">
        <f aca="false">-(People!J172+People!J182)</f>
        <v>-107992.21</v>
      </c>
      <c r="K27" s="65" t="n">
        <f aca="false">-(People!K172+People!K182)</f>
        <v>-107740.71</v>
      </c>
      <c r="L27" s="65" t="n">
        <f aca="false">-(People!L172+People!L182)</f>
        <v>-102906.23</v>
      </c>
      <c r="M27" s="65" t="n">
        <f aca="false">-(People!M172+People!M182)</f>
        <v>-101090.186317667</v>
      </c>
      <c r="N27" s="65" t="n">
        <f aca="false">-(People!N172+People!N182)</f>
        <v>-99275.9490766736</v>
      </c>
      <c r="O27" s="65" t="n">
        <f aca="false">-(People!O172+People!O182)</f>
        <v>-104300.55150736</v>
      </c>
      <c r="P27" s="65" t="n">
        <f aca="false">-(People!P172+People!P182)</f>
        <v>-104230.113062649</v>
      </c>
      <c r="Q27" s="65" t="n">
        <f aca="false">-(People!Q172+People!Q182)</f>
        <v>-123354.02072738</v>
      </c>
      <c r="R27" s="65" t="n">
        <f aca="false">-(People!R172+People!R182)</f>
        <v>-123078.390081393</v>
      </c>
      <c r="S27" s="65" t="n">
        <f aca="false">-(People!S172+People!S182)</f>
        <v>-122806.388984806</v>
      </c>
      <c r="T27" s="65" t="n">
        <f aca="false">-(People!T172+People!T182)</f>
        <v>-122816.711322478</v>
      </c>
      <c r="U27" s="65" t="n">
        <f aca="false">-(People!U172+People!U182)</f>
        <v>-126014.991424686</v>
      </c>
      <c r="V27" s="65" t="n">
        <f aca="false">-(People!V172+People!V182)</f>
        <v>-125948.165699216</v>
      </c>
      <c r="W27" s="65" t="n">
        <f aca="false">-(People!W172+People!W182)</f>
        <v>-125882.933389866</v>
      </c>
      <c r="X27" s="65" t="n">
        <f aca="false">-(People!X172+People!X182)</f>
        <v>-125885.684267898</v>
      </c>
      <c r="Y27" s="65" t="n">
        <f aca="false">-(People!Y172+People!Y182)</f>
        <v>-125886.985889477</v>
      </c>
      <c r="Z27" s="65" t="n">
        <f aca="false">-(People!Z172+People!Z182)</f>
        <v>-125886.901467476</v>
      </c>
      <c r="AA27" s="65" t="n">
        <f aca="false">-(People!AA172+People!AA182)</f>
        <v>-125886.876110025</v>
      </c>
      <c r="AB27" s="65" t="n">
        <f aca="false">-(People!AB172+People!AB182)</f>
        <v>-125886.878397022</v>
      </c>
    </row>
    <row r="28" customFormat="false" ht="15" hidden="false" customHeight="false" outlineLevel="0" collapsed="false">
      <c r="A28" s="28" t="s">
        <v>391</v>
      </c>
      <c r="B28" s="63" t="s">
        <v>76</v>
      </c>
      <c r="C28" s="64" t="n">
        <f aca="false">SUM(E28:P28)</f>
        <v>-809819.06</v>
      </c>
      <c r="D28" s="64" t="n">
        <f aca="false">SUM(Q28:AB28)</f>
        <v>-832755</v>
      </c>
      <c r="E28" s="65" t="n">
        <f aca="false">-Overheads!E12</f>
        <v>-72950.18</v>
      </c>
      <c r="F28" s="65" t="n">
        <f aca="false">-Overheads!F12</f>
        <v>-76997.11</v>
      </c>
      <c r="G28" s="65" t="n">
        <f aca="false">-Overheads!G12</f>
        <v>-70333.46</v>
      </c>
      <c r="H28" s="65" t="n">
        <f aca="false">-Overheads!H12</f>
        <v>-69662.37</v>
      </c>
      <c r="I28" s="65" t="n">
        <f aca="false">-Overheads!I12</f>
        <v>-63812.87</v>
      </c>
      <c r="J28" s="65" t="n">
        <f aca="false">-Overheads!J12</f>
        <v>-70430.36</v>
      </c>
      <c r="K28" s="65" t="n">
        <f aca="false">-Overheads!K12</f>
        <v>-68209.14</v>
      </c>
      <c r="L28" s="65" t="n">
        <f aca="false">-Overheads!L12</f>
        <v>-53423.57</v>
      </c>
      <c r="M28" s="65" t="n">
        <f aca="false">-Overheads!M12</f>
        <v>-66000</v>
      </c>
      <c r="N28" s="65" t="n">
        <f aca="false">-Overheads!N12</f>
        <v>-66000</v>
      </c>
      <c r="O28" s="65" t="n">
        <f aca="false">-Overheads!O12</f>
        <v>-66000</v>
      </c>
      <c r="P28" s="65" t="n">
        <f aca="false">-Overheads!P12</f>
        <v>-66000</v>
      </c>
      <c r="Q28" s="65" t="n">
        <f aca="false">-Overheads!Q12</f>
        <v>-78177</v>
      </c>
      <c r="R28" s="65" t="n">
        <f aca="false">-Overheads!R12</f>
        <v>-78177</v>
      </c>
      <c r="S28" s="65" t="n">
        <f aca="false">-Overheads!S12</f>
        <v>-78177</v>
      </c>
      <c r="T28" s="65" t="n">
        <f aca="false">-Overheads!T12</f>
        <v>-67980</v>
      </c>
      <c r="U28" s="65" t="n">
        <f aca="false">-Overheads!U12</f>
        <v>-67980</v>
      </c>
      <c r="V28" s="65" t="n">
        <f aca="false">-Overheads!V12</f>
        <v>-67980</v>
      </c>
      <c r="W28" s="65" t="n">
        <f aca="false">-Overheads!W12</f>
        <v>-67980</v>
      </c>
      <c r="X28" s="65" t="n">
        <f aca="false">-Overheads!X12</f>
        <v>-54384</v>
      </c>
      <c r="Y28" s="65" t="n">
        <f aca="false">-Overheads!Y12</f>
        <v>-67980</v>
      </c>
      <c r="Z28" s="65" t="n">
        <f aca="false">-Overheads!Z12</f>
        <v>-67980</v>
      </c>
      <c r="AA28" s="65" t="n">
        <f aca="false">-Overheads!AA12</f>
        <v>-67980</v>
      </c>
      <c r="AB28" s="65" t="n">
        <f aca="false">-Overheads!AB12</f>
        <v>-67980</v>
      </c>
    </row>
    <row r="29" customFormat="false" ht="15" hidden="false" customHeight="false" outlineLevel="0" collapsed="false">
      <c r="A29" s="28" t="s">
        <v>392</v>
      </c>
      <c r="B29" s="63" t="s">
        <v>76</v>
      </c>
      <c r="C29" s="64" t="n">
        <f aca="false">SUM(E29:P29)</f>
        <v>-304533.44</v>
      </c>
      <c r="D29" s="64" t="n">
        <f aca="false">SUM(Q29:AB29)</f>
        <v>-318888</v>
      </c>
      <c r="E29" s="65" t="n">
        <f aca="false">-Overheads!E13</f>
        <v>-23665.57</v>
      </c>
      <c r="F29" s="65" t="n">
        <f aca="false">-Overheads!F13</f>
        <v>-23124.71</v>
      </c>
      <c r="G29" s="65" t="n">
        <f aca="false">-Overheads!G13</f>
        <v>-26164.59</v>
      </c>
      <c r="H29" s="65" t="n">
        <f aca="false">-Overheads!H13</f>
        <v>-19766.87</v>
      </c>
      <c r="I29" s="65" t="n">
        <f aca="false">-Overheads!I13</f>
        <v>-45328.38</v>
      </c>
      <c r="J29" s="65" t="n">
        <f aca="false">-Overheads!J13</f>
        <v>-25245.92</v>
      </c>
      <c r="K29" s="65" t="n">
        <f aca="false">-Overheads!K13</f>
        <v>-23857.97</v>
      </c>
      <c r="L29" s="65" t="n">
        <f aca="false">-Overheads!L13</f>
        <v>-21379.43</v>
      </c>
      <c r="M29" s="65" t="n">
        <f aca="false">-Overheads!M13</f>
        <v>-24000</v>
      </c>
      <c r="N29" s="65" t="n">
        <f aca="false">-Overheads!N13</f>
        <v>-24000</v>
      </c>
      <c r="O29" s="65" t="n">
        <f aca="false">-Overheads!O13</f>
        <v>-24000</v>
      </c>
      <c r="P29" s="65" t="n">
        <f aca="false">-Overheads!P13</f>
        <v>-24000</v>
      </c>
      <c r="Q29" s="65" t="n">
        <f aca="false">-Overheads!Q13</f>
        <v>-24720</v>
      </c>
      <c r="R29" s="65" t="n">
        <f aca="false">-Overheads!R13</f>
        <v>-24720</v>
      </c>
      <c r="S29" s="65" t="n">
        <f aca="false">-Overheads!S13</f>
        <v>-24720</v>
      </c>
      <c r="T29" s="65" t="n">
        <f aca="false">-Overheads!T13</f>
        <v>-24720</v>
      </c>
      <c r="U29" s="65" t="n">
        <f aca="false">-Overheads!U13</f>
        <v>-46968</v>
      </c>
      <c r="V29" s="65" t="n">
        <f aca="false">-Overheads!V13</f>
        <v>-24720</v>
      </c>
      <c r="W29" s="65" t="n">
        <f aca="false">-Overheads!W13</f>
        <v>-24720</v>
      </c>
      <c r="X29" s="65" t="n">
        <f aca="false">-Overheads!X13</f>
        <v>-24720</v>
      </c>
      <c r="Y29" s="65" t="n">
        <f aca="false">-Overheads!Y13</f>
        <v>-24720</v>
      </c>
      <c r="Z29" s="65" t="n">
        <f aca="false">-Overheads!Z13</f>
        <v>-24720</v>
      </c>
      <c r="AA29" s="65" t="n">
        <f aca="false">-Overheads!AA13</f>
        <v>-24720</v>
      </c>
      <c r="AB29" s="65" t="n">
        <f aca="false">-Overheads!AB13</f>
        <v>-24720</v>
      </c>
    </row>
    <row r="30" customFormat="false" ht="15" hidden="false" customHeight="false" outlineLevel="0" collapsed="false">
      <c r="A30" s="28" t="s">
        <v>393</v>
      </c>
      <c r="B30" s="63" t="s">
        <v>62</v>
      </c>
      <c r="C30" s="64" t="n">
        <f aca="false">SUM(E30:P30)</f>
        <v>-123631.683366254</v>
      </c>
      <c r="D30" s="64" t="n">
        <f aca="false">SUM(Q30:AB30)</f>
        <v>-134891.867094484</v>
      </c>
      <c r="E30" s="65" t="n">
        <f aca="false">-Capitalised_Costs!E18</f>
        <v>-9876.44</v>
      </c>
      <c r="F30" s="65" t="n">
        <f aca="false">-Capitalised_Costs!F18</f>
        <v>-10036.1612240625</v>
      </c>
      <c r="G30" s="65" t="n">
        <f aca="false">-Capitalised_Costs!G18</f>
        <v>-10009.87449625</v>
      </c>
      <c r="H30" s="65" t="n">
        <f aca="false">-Capitalised_Costs!H18</f>
        <v>-10028.35108875</v>
      </c>
      <c r="I30" s="65" t="n">
        <f aca="false">-Capitalised_Costs!I18</f>
        <v>-10396.008826875</v>
      </c>
      <c r="J30" s="65" t="n">
        <f aca="false">-Capitalised_Costs!J18</f>
        <v>-10357.3772946875</v>
      </c>
      <c r="K30" s="65" t="n">
        <f aca="false">-Capitalised_Costs!K18</f>
        <v>-10333.344335</v>
      </c>
      <c r="L30" s="65" t="n">
        <f aca="false">-Capitalised_Costs!L18</f>
        <v>-10485.270728125</v>
      </c>
      <c r="M30" s="65" t="n">
        <f aca="false">-Capitalised_Costs!M18</f>
        <v>-10502.3449396875</v>
      </c>
      <c r="N30" s="65" t="n">
        <f aca="false">-Capitalised_Costs!N18</f>
        <v>-10500.8539404451</v>
      </c>
      <c r="O30" s="65" t="n">
        <f aca="false">-Capitalised_Costs!O18</f>
        <v>-10477.914548183</v>
      </c>
      <c r="P30" s="65" t="n">
        <f aca="false">-Capitalised_Costs!P18</f>
        <v>-10627.7419441884</v>
      </c>
      <c r="Q30" s="65" t="n">
        <f aca="false">-Capitalised_Costs!Q18</f>
        <v>-10738.3147774303</v>
      </c>
      <c r="R30" s="65" t="n">
        <f aca="false">-Capitalised_Costs!R18</f>
        <v>-10867.9927451487</v>
      </c>
      <c r="S30" s="65" t="n">
        <f aca="false">-Capitalised_Costs!S18</f>
        <v>-10943.8985649119</v>
      </c>
      <c r="T30" s="65" t="n">
        <f aca="false">-Capitalised_Costs!T18</f>
        <v>-11074.7157921171</v>
      </c>
      <c r="U30" s="65" t="n">
        <f aca="false">-Capitalised_Costs!U18</f>
        <v>-11187.1156536379</v>
      </c>
      <c r="V30" s="65" t="n">
        <f aca="false">-Capitalised_Costs!V18</f>
        <v>-11135.5063835949</v>
      </c>
      <c r="W30" s="65" t="n">
        <f aca="false">-Capitalised_Costs!W18</f>
        <v>-11237.4956916096</v>
      </c>
      <c r="X30" s="65" t="n">
        <f aca="false">-Capitalised_Costs!X18</f>
        <v>-11337.3349075395</v>
      </c>
      <c r="Y30" s="65" t="n">
        <f aca="false">-Capitalised_Costs!Y18</f>
        <v>-11406.2947673402</v>
      </c>
      <c r="Z30" s="65" t="n">
        <f aca="false">-Capitalised_Costs!Z18</f>
        <v>-11511.4181847084</v>
      </c>
      <c r="AA30" s="65" t="n">
        <f aca="false">-Capitalised_Costs!AA18</f>
        <v>-11680.4390134496</v>
      </c>
      <c r="AB30" s="65" t="n">
        <f aca="false">-Capitalised_Costs!AB18</f>
        <v>-11771.3406129962</v>
      </c>
    </row>
    <row r="31" customFormat="false" ht="15" hidden="false" customHeight="false" outlineLevel="0" collapsed="false">
      <c r="A31" s="28" t="s">
        <v>394</v>
      </c>
      <c r="B31" s="63" t="s">
        <v>60</v>
      </c>
      <c r="C31" s="64" t="n">
        <f aca="false">SUM(E31:P31)</f>
        <v>-492847.854531567</v>
      </c>
      <c r="D31" s="64" t="n">
        <f aca="false">SUM(Q31:AB31)</f>
        <v>-505885.166365763</v>
      </c>
      <c r="E31" s="65" t="n">
        <f aca="false">-People!E192</f>
        <v>-41279.83</v>
      </c>
      <c r="F31" s="65" t="n">
        <f aca="false">-People!F192</f>
        <v>-41319.67</v>
      </c>
      <c r="G31" s="65" t="n">
        <f aca="false">-People!G192</f>
        <v>-41288.91</v>
      </c>
      <c r="H31" s="65" t="n">
        <f aca="false">-People!H192</f>
        <v>-41196.4</v>
      </c>
      <c r="I31" s="65" t="n">
        <f aca="false">-People!I192</f>
        <v>-41129.55</v>
      </c>
      <c r="J31" s="65" t="n">
        <f aca="false">-People!J192</f>
        <v>-41174.56</v>
      </c>
      <c r="K31" s="65" t="n">
        <f aca="false">-People!K192</f>
        <v>-41154.72</v>
      </c>
      <c r="L31" s="65" t="n">
        <f aca="false">-People!L192</f>
        <v>-41284.87</v>
      </c>
      <c r="M31" s="65" t="n">
        <f aca="false">-People!M192</f>
        <v>-40957.3474415467</v>
      </c>
      <c r="N31" s="65" t="n">
        <f aca="false">-People!N192</f>
        <v>-40684.298458603</v>
      </c>
      <c r="O31" s="65" t="n">
        <f aca="false">-People!O192</f>
        <v>-40687.9513286657</v>
      </c>
      <c r="P31" s="65" t="n">
        <f aca="false">-People!P192</f>
        <v>-40689.7473027515</v>
      </c>
      <c r="Q31" s="65" t="n">
        <f aca="false">-People!Q192</f>
        <v>-42157.1080047447</v>
      </c>
      <c r="R31" s="65" t="n">
        <f aca="false">-People!R192</f>
        <v>-42157.0958506991</v>
      </c>
      <c r="S31" s="65" t="n">
        <f aca="false">-People!S192</f>
        <v>-42157.0961826304</v>
      </c>
      <c r="T31" s="65" t="n">
        <f aca="false">-People!T192</f>
        <v>-42157.0962614445</v>
      </c>
      <c r="U31" s="65" t="n">
        <f aca="false">-People!U192</f>
        <v>-42157.0962587062</v>
      </c>
      <c r="V31" s="65" t="n">
        <f aca="false">-People!V192</f>
        <v>-42157.096258199</v>
      </c>
      <c r="W31" s="65" t="n">
        <f aca="false">-People!W192</f>
        <v>-42157.0962582206</v>
      </c>
      <c r="X31" s="65" t="n">
        <f aca="false">-People!X192</f>
        <v>-42157.0962582239</v>
      </c>
      <c r="Y31" s="65" t="n">
        <f aca="false">-People!Y192</f>
        <v>-42157.0962582237</v>
      </c>
      <c r="Z31" s="65" t="n">
        <f aca="false">-People!Z192</f>
        <v>-42157.0962582237</v>
      </c>
      <c r="AA31" s="65" t="n">
        <f aca="false">-People!AA192</f>
        <v>-42157.0962582237</v>
      </c>
      <c r="AB31" s="65" t="n">
        <f aca="false">-People!AB192</f>
        <v>-42157.0962582237</v>
      </c>
    </row>
    <row r="32" customFormat="false" ht="15" hidden="false" customHeight="false" outlineLevel="0" collapsed="false">
      <c r="A32" s="28" t="s">
        <v>395</v>
      </c>
      <c r="B32" s="63" t="s">
        <v>76</v>
      </c>
      <c r="C32" s="64" t="n">
        <f aca="false">SUM(E32:P32)</f>
        <v>-235511.264986423</v>
      </c>
      <c r="D32" s="64" t="n">
        <f aca="false">SUM(Q32:AB32)</f>
        <v>-277697.879695629</v>
      </c>
      <c r="E32" s="65" t="n">
        <f aca="false">-Overheads!E11</f>
        <v>-18634.79</v>
      </c>
      <c r="F32" s="65" t="n">
        <f aca="false">-Overheads!F11</f>
        <v>-18928.59</v>
      </c>
      <c r="G32" s="65" t="n">
        <f aca="false">-Overheads!G11</f>
        <v>-19188.02</v>
      </c>
      <c r="H32" s="65" t="n">
        <f aca="false">-Overheads!H11</f>
        <v>-19655.46</v>
      </c>
      <c r="I32" s="65" t="n">
        <f aca="false">-Overheads!I11</f>
        <v>-19995.8</v>
      </c>
      <c r="J32" s="65" t="n">
        <f aca="false">-Overheads!J11</f>
        <v>-19537.27</v>
      </c>
      <c r="K32" s="65" t="n">
        <f aca="false">-Overheads!K11</f>
        <v>-20148.3</v>
      </c>
      <c r="L32" s="65" t="n">
        <f aca="false">-Overheads!L11</f>
        <v>-19990.22</v>
      </c>
      <c r="M32" s="65" t="n">
        <f aca="false">-Overheads!M11</f>
        <v>-19768.125</v>
      </c>
      <c r="N32" s="65" t="n">
        <f aca="false">-Overheads!N11</f>
        <v>-19737.8134375</v>
      </c>
      <c r="O32" s="65" t="n">
        <f aca="false">-Overheads!O11</f>
        <v>-19965.3365911458</v>
      </c>
      <c r="P32" s="65" t="n">
        <f aca="false">-Overheads!P11</f>
        <v>-19961.5399577771</v>
      </c>
      <c r="Q32" s="65" t="n">
        <f aca="false">-Overheads!Q11</f>
        <v>-22177.8109338868</v>
      </c>
      <c r="R32" s="65" t="n">
        <f aca="false">-Overheads!R11</f>
        <v>-22156.5487407274</v>
      </c>
      <c r="S32" s="65" t="n">
        <f aca="false">-Overheads!S11</f>
        <v>-22599.0322160076</v>
      </c>
      <c r="T32" s="65" t="n">
        <f aca="false">-Overheads!T11</f>
        <v>-22823.6921958842</v>
      </c>
      <c r="U32" s="65" t="n">
        <f aca="false">-Overheads!U11</f>
        <v>-23277.5912555748</v>
      </c>
      <c r="V32" s="65" t="n">
        <f aca="false">-Overheads!V11</f>
        <v>-23267.8271130983</v>
      </c>
      <c r="W32" s="65" t="n">
        <f aca="false">-Overheads!W11</f>
        <v>-23260.4093901845</v>
      </c>
      <c r="X32" s="65" t="n">
        <f aca="false">-Overheads!X11</f>
        <v>-23260.6958503368</v>
      </c>
      <c r="Y32" s="65" t="n">
        <f aca="false">-Overheads!Y11</f>
        <v>-23724.322190079</v>
      </c>
      <c r="Z32" s="65" t="n">
        <f aca="false">-Overheads!Z11</f>
        <v>-23719.6797024711</v>
      </c>
      <c r="AA32" s="65" t="n">
        <f aca="false">-Overheads!AA11</f>
        <v>-23715.088842759</v>
      </c>
      <c r="AB32" s="65" t="n">
        <f aca="false">-Overheads!AB11</f>
        <v>-23715.1812646192</v>
      </c>
    </row>
    <row r="33" customFormat="false" ht="15" hidden="false" customHeight="false" outlineLevel="0" collapsed="false">
      <c r="A33" s="28" t="s">
        <v>396</v>
      </c>
      <c r="B33" s="63" t="s">
        <v>76</v>
      </c>
      <c r="C33" s="64" t="n">
        <f aca="false">SUM(E33:P33)</f>
        <v>-186000</v>
      </c>
      <c r="D33" s="64" t="n">
        <f aca="false">SUM(Q33:AB33)</f>
        <v>-191580</v>
      </c>
      <c r="E33" s="65" t="n">
        <f aca="false">-Overheads!E14</f>
        <v>-15500</v>
      </c>
      <c r="F33" s="65" t="n">
        <f aca="false">-Overheads!F14</f>
        <v>-15500</v>
      </c>
      <c r="G33" s="65" t="n">
        <f aca="false">-Overheads!G14</f>
        <v>-15500</v>
      </c>
      <c r="H33" s="65" t="n">
        <f aca="false">-Overheads!H14</f>
        <v>-15500</v>
      </c>
      <c r="I33" s="65" t="n">
        <f aca="false">-Overheads!I14</f>
        <v>-15500</v>
      </c>
      <c r="J33" s="65" t="n">
        <f aca="false">-Overheads!J14</f>
        <v>-15500</v>
      </c>
      <c r="K33" s="65" t="n">
        <f aca="false">-Overheads!K14</f>
        <v>-15500</v>
      </c>
      <c r="L33" s="65" t="n">
        <f aca="false">-Overheads!L14</f>
        <v>-15500</v>
      </c>
      <c r="M33" s="65" t="n">
        <f aca="false">-Overheads!M14</f>
        <v>-15500</v>
      </c>
      <c r="N33" s="65" t="n">
        <f aca="false">-Overheads!N14</f>
        <v>-15500</v>
      </c>
      <c r="O33" s="65" t="n">
        <f aca="false">-Overheads!O14</f>
        <v>-15500</v>
      </c>
      <c r="P33" s="65" t="n">
        <f aca="false">-Overheads!P14</f>
        <v>-15500</v>
      </c>
      <c r="Q33" s="65" t="n">
        <f aca="false">-Overheads!Q14</f>
        <v>-15965</v>
      </c>
      <c r="R33" s="65" t="n">
        <f aca="false">-Overheads!R14</f>
        <v>-15965</v>
      </c>
      <c r="S33" s="65" t="n">
        <f aca="false">-Overheads!S14</f>
        <v>-15965</v>
      </c>
      <c r="T33" s="65" t="n">
        <f aca="false">-Overheads!T14</f>
        <v>-15965</v>
      </c>
      <c r="U33" s="65" t="n">
        <f aca="false">-Overheads!U14</f>
        <v>-15965</v>
      </c>
      <c r="V33" s="65" t="n">
        <f aca="false">-Overheads!V14</f>
        <v>-15965</v>
      </c>
      <c r="W33" s="65" t="n">
        <f aca="false">-Overheads!W14</f>
        <v>-15965</v>
      </c>
      <c r="X33" s="65" t="n">
        <f aca="false">-Overheads!X14</f>
        <v>-15965</v>
      </c>
      <c r="Y33" s="65" t="n">
        <f aca="false">-Overheads!Y14</f>
        <v>-15965</v>
      </c>
      <c r="Z33" s="65" t="n">
        <f aca="false">-Overheads!Z14</f>
        <v>-15965</v>
      </c>
      <c r="AA33" s="65" t="n">
        <f aca="false">-Overheads!AA14</f>
        <v>-15965</v>
      </c>
      <c r="AB33" s="65" t="n">
        <f aca="false">-Overheads!AB14</f>
        <v>-15965</v>
      </c>
    </row>
    <row r="34" customFormat="false" ht="15" hidden="false" customHeight="false" outlineLevel="0" collapsed="false">
      <c r="A34" s="28" t="s">
        <v>397</v>
      </c>
      <c r="B34" s="63" t="s">
        <v>76</v>
      </c>
      <c r="C34" s="64" t="n">
        <f aca="false">SUM(E34:P34)</f>
        <v>-155697.6</v>
      </c>
      <c r="D34" s="64" t="n">
        <f aca="false">SUM(Q34:AB34)</f>
        <v>-158723</v>
      </c>
      <c r="E34" s="65" t="n">
        <f aca="false">-Overheads!E15</f>
        <v>-10714.65</v>
      </c>
      <c r="F34" s="65" t="n">
        <f aca="false">-Overheads!F15</f>
        <v>-11942.07</v>
      </c>
      <c r="G34" s="65" t="n">
        <f aca="false">-Overheads!G15</f>
        <v>-29424.51</v>
      </c>
      <c r="H34" s="65" t="n">
        <f aca="false">-Overheads!H15</f>
        <v>-11509.22</v>
      </c>
      <c r="I34" s="65" t="n">
        <f aca="false">-Overheads!I15</f>
        <v>-11345.99</v>
      </c>
      <c r="J34" s="65" t="n">
        <f aca="false">-Overheads!J15</f>
        <v>-11744.15</v>
      </c>
      <c r="K34" s="65" t="n">
        <f aca="false">-Overheads!K15</f>
        <v>-11246.69</v>
      </c>
      <c r="L34" s="65" t="n">
        <f aca="false">-Overheads!L15</f>
        <v>-11770.32</v>
      </c>
      <c r="M34" s="65" t="n">
        <f aca="false">-Overheads!M15</f>
        <v>-11500</v>
      </c>
      <c r="N34" s="65" t="n">
        <f aca="false">-Overheads!N15</f>
        <v>-11500</v>
      </c>
      <c r="O34" s="65" t="n">
        <f aca="false">-Overheads!O15</f>
        <v>-11500</v>
      </c>
      <c r="P34" s="65" t="n">
        <f aca="false">-Overheads!P15</f>
        <v>-11500</v>
      </c>
      <c r="Q34" s="65" t="n">
        <f aca="false">-Overheads!Q15</f>
        <v>-11845</v>
      </c>
      <c r="R34" s="65" t="n">
        <f aca="false">-Overheads!R15</f>
        <v>-11845</v>
      </c>
      <c r="S34" s="65" t="n">
        <f aca="false">-Overheads!S15</f>
        <v>-28428</v>
      </c>
      <c r="T34" s="65" t="n">
        <f aca="false">-Overheads!T15</f>
        <v>-11845</v>
      </c>
      <c r="U34" s="65" t="n">
        <f aca="false">-Overheads!U15</f>
        <v>-11845</v>
      </c>
      <c r="V34" s="65" t="n">
        <f aca="false">-Overheads!V15</f>
        <v>-11845</v>
      </c>
      <c r="W34" s="65" t="n">
        <f aca="false">-Overheads!W15</f>
        <v>-11845</v>
      </c>
      <c r="X34" s="65" t="n">
        <f aca="false">-Overheads!X15</f>
        <v>-11845</v>
      </c>
      <c r="Y34" s="65" t="n">
        <f aca="false">-Overheads!Y15</f>
        <v>-11845</v>
      </c>
      <c r="Z34" s="65" t="n">
        <f aca="false">-Overheads!Z15</f>
        <v>-11845</v>
      </c>
      <c r="AA34" s="65" t="n">
        <f aca="false">-Overheads!AA15</f>
        <v>-11845</v>
      </c>
      <c r="AB34" s="65" t="n">
        <f aca="false">-Overheads!AB15</f>
        <v>-11845</v>
      </c>
    </row>
    <row r="35" customFormat="false" ht="15" hidden="false" customHeight="false" outlineLevel="0" collapsed="false">
      <c r="A35" s="28" t="s">
        <v>398</v>
      </c>
      <c r="B35" s="63" t="s">
        <v>76</v>
      </c>
      <c r="C35" s="64" t="n">
        <f aca="false">SUM(E35:P35)</f>
        <v>-38400</v>
      </c>
      <c r="D35" s="64" t="n">
        <f aca="false">SUM(Q35:AB35)</f>
        <v>-39552</v>
      </c>
      <c r="E35" s="65" t="n">
        <f aca="false">-Overheads!E16</f>
        <v>-3200</v>
      </c>
      <c r="F35" s="65" t="n">
        <f aca="false">-Overheads!F16</f>
        <v>-3200</v>
      </c>
      <c r="G35" s="65" t="n">
        <f aca="false">-Overheads!G16</f>
        <v>-3200</v>
      </c>
      <c r="H35" s="65" t="n">
        <f aca="false">-Overheads!H16</f>
        <v>-3200</v>
      </c>
      <c r="I35" s="65" t="n">
        <f aca="false">-Overheads!I16</f>
        <v>-3200</v>
      </c>
      <c r="J35" s="65" t="n">
        <f aca="false">-Overheads!J16</f>
        <v>-3200</v>
      </c>
      <c r="K35" s="65" t="n">
        <f aca="false">-Overheads!K16</f>
        <v>-3200</v>
      </c>
      <c r="L35" s="65" t="n">
        <f aca="false">-Overheads!L16</f>
        <v>-3200</v>
      </c>
      <c r="M35" s="65" t="n">
        <f aca="false">-Overheads!M16</f>
        <v>-3200</v>
      </c>
      <c r="N35" s="65" t="n">
        <f aca="false">-Overheads!N16</f>
        <v>-3200</v>
      </c>
      <c r="O35" s="65" t="n">
        <f aca="false">-Overheads!O16</f>
        <v>-3200</v>
      </c>
      <c r="P35" s="65" t="n">
        <f aca="false">-Overheads!P16</f>
        <v>-3200</v>
      </c>
      <c r="Q35" s="65" t="n">
        <f aca="false">-Overheads!Q16</f>
        <v>-3296</v>
      </c>
      <c r="R35" s="65" t="n">
        <f aca="false">-Overheads!R16</f>
        <v>-3296</v>
      </c>
      <c r="S35" s="65" t="n">
        <f aca="false">-Overheads!S16</f>
        <v>-3296</v>
      </c>
      <c r="T35" s="65" t="n">
        <f aca="false">-Overheads!T16</f>
        <v>-3296</v>
      </c>
      <c r="U35" s="65" t="n">
        <f aca="false">-Overheads!U16</f>
        <v>-3296</v>
      </c>
      <c r="V35" s="65" t="n">
        <f aca="false">-Overheads!V16</f>
        <v>-3296</v>
      </c>
      <c r="W35" s="65" t="n">
        <f aca="false">-Overheads!W16</f>
        <v>-3296</v>
      </c>
      <c r="X35" s="65" t="n">
        <f aca="false">-Overheads!X16</f>
        <v>-3296</v>
      </c>
      <c r="Y35" s="65" t="n">
        <f aca="false">-Overheads!Y16</f>
        <v>-3296</v>
      </c>
      <c r="Z35" s="65" t="n">
        <f aca="false">-Overheads!Z16</f>
        <v>-3296</v>
      </c>
      <c r="AA35" s="65" t="n">
        <f aca="false">-Overheads!AA16</f>
        <v>-3296</v>
      </c>
      <c r="AB35" s="65" t="n">
        <f aca="false">-Overheads!AB16</f>
        <v>-3296</v>
      </c>
    </row>
    <row r="36" customFormat="false" ht="15" hidden="false" customHeight="false" outlineLevel="0" collapsed="false">
      <c r="A36" s="28" t="s">
        <v>399</v>
      </c>
      <c r="B36" s="63" t="s">
        <v>76</v>
      </c>
      <c r="C36" s="64" t="n">
        <f aca="false">SUM(E36:P36)</f>
        <v>-83242.58125</v>
      </c>
      <c r="D36" s="64" t="n">
        <f aca="false">SUM(Q36:AB36)</f>
        <v>-138023.693999453</v>
      </c>
      <c r="E36" s="65" t="n">
        <f aca="false">-Overheads!E17</f>
        <v>-5110.09</v>
      </c>
      <c r="F36" s="65" t="n">
        <f aca="false">-Overheads!F17</f>
        <v>-10213.4</v>
      </c>
      <c r="G36" s="65" t="n">
        <f aca="false">-Overheads!G17</f>
        <v>-9138.27</v>
      </c>
      <c r="H36" s="65" t="n">
        <f aca="false">-Overheads!H17</f>
        <v>-11348.65</v>
      </c>
      <c r="I36" s="65" t="n">
        <f aca="false">-Overheads!I17</f>
        <v>-10392.3</v>
      </c>
      <c r="J36" s="65" t="n">
        <f aca="false">-Overheads!J17</f>
        <v>-4921.61</v>
      </c>
      <c r="K36" s="65" t="n">
        <f aca="false">-Overheads!K17</f>
        <v>-5374.53</v>
      </c>
      <c r="L36" s="65" t="n">
        <f aca="false">-Overheads!L17</f>
        <v>-600</v>
      </c>
      <c r="M36" s="65" t="n">
        <f aca="false">-Overheads!M17</f>
        <v>-5100</v>
      </c>
      <c r="N36" s="65" t="n">
        <f aca="false">-Overheads!N17</f>
        <v>-5100</v>
      </c>
      <c r="O36" s="65" t="n">
        <f aca="false">-Overheads!O17</f>
        <v>-10237.5</v>
      </c>
      <c r="P36" s="65" t="n">
        <f aca="false">-Overheads!P17</f>
        <v>-5706.23125</v>
      </c>
      <c r="Q36" s="65" t="n">
        <f aca="false">-Overheads!Q17</f>
        <v>-37187.0369270833</v>
      </c>
      <c r="R36" s="65" t="n">
        <f aca="false">-Overheads!R17</f>
        <v>-5782.16391737413</v>
      </c>
      <c r="S36" s="65" t="n">
        <f aca="false">-Overheads!S17</f>
        <v>-14780.7305702602</v>
      </c>
      <c r="T36" s="65" t="n">
        <f aca="false">-Overheads!T17</f>
        <v>-10695.0220369742</v>
      </c>
      <c r="U36" s="65" t="n">
        <f aca="false">-Overheads!U17</f>
        <v>-15188.8184288974</v>
      </c>
      <c r="V36" s="65" t="n">
        <f aca="false">-Overheads!V17</f>
        <v>-6332.69233063264</v>
      </c>
      <c r="W36" s="65" t="n">
        <f aca="false">-Overheads!W17</f>
        <v>-6375.24445432321</v>
      </c>
      <c r="X36" s="65" t="n">
        <f aca="false">-Overheads!X17</f>
        <v>-6522.2873301768</v>
      </c>
      <c r="Y36" s="65" t="n">
        <f aca="false">-Overheads!Y17</f>
        <v>-15519.2779089595</v>
      </c>
      <c r="Z36" s="65" t="n">
        <f aca="false">-Overheads!Z17</f>
        <v>-6516.72499712238</v>
      </c>
      <c r="AA36" s="65" t="n">
        <f aca="false">-Overheads!AA17</f>
        <v>-6516.82471008153</v>
      </c>
      <c r="AB36" s="65" t="n">
        <f aca="false">-Overheads!AB17</f>
        <v>-6606.87038756739</v>
      </c>
    </row>
    <row r="37" customFormat="false" ht="15" hidden="false" customHeight="false" outlineLevel="0" collapsed="false">
      <c r="A37" s="28" t="s">
        <v>400</v>
      </c>
      <c r="B37" s="63" t="s">
        <v>76</v>
      </c>
      <c r="C37" s="64" t="n">
        <f aca="false">SUM(E37:P37)</f>
        <v>-128464.13</v>
      </c>
      <c r="D37" s="64" t="n">
        <f aca="false">SUM(Q37:AB37)</f>
        <v>-129780</v>
      </c>
      <c r="E37" s="65" t="n">
        <f aca="false">-Overheads!E18</f>
        <v>-10528.67</v>
      </c>
      <c r="F37" s="65" t="n">
        <f aca="false">-Overheads!F18</f>
        <v>-11072.08</v>
      </c>
      <c r="G37" s="65" t="n">
        <f aca="false">-Overheads!G18</f>
        <v>-9984.97</v>
      </c>
      <c r="H37" s="65" t="n">
        <f aca="false">-Overheads!H18</f>
        <v>-11371.46</v>
      </c>
      <c r="I37" s="65" t="n">
        <f aca="false">-Overheads!I18</f>
        <v>-8708.79</v>
      </c>
      <c r="J37" s="65" t="n">
        <f aca="false">-Overheads!J18</f>
        <v>-10869.42</v>
      </c>
      <c r="K37" s="65" t="n">
        <f aca="false">-Overheads!K18</f>
        <v>-10935.18</v>
      </c>
      <c r="L37" s="65" t="n">
        <f aca="false">-Overheads!L18</f>
        <v>-12993.56</v>
      </c>
      <c r="M37" s="65" t="n">
        <f aca="false">-Overheads!M18</f>
        <v>-10500</v>
      </c>
      <c r="N37" s="65" t="n">
        <f aca="false">-Overheads!N18</f>
        <v>-10500</v>
      </c>
      <c r="O37" s="65" t="n">
        <f aca="false">-Overheads!O18</f>
        <v>-10500</v>
      </c>
      <c r="P37" s="65" t="n">
        <f aca="false">-Overheads!P18</f>
        <v>-10500</v>
      </c>
      <c r="Q37" s="65" t="n">
        <f aca="false">-Overheads!Q18</f>
        <v>-10815</v>
      </c>
      <c r="R37" s="65" t="n">
        <f aca="false">-Overheads!R18</f>
        <v>-10815</v>
      </c>
      <c r="S37" s="65" t="n">
        <f aca="false">-Overheads!S18</f>
        <v>-10815</v>
      </c>
      <c r="T37" s="65" t="n">
        <f aca="false">-Overheads!T18</f>
        <v>-10815</v>
      </c>
      <c r="U37" s="65" t="n">
        <f aca="false">-Overheads!U18</f>
        <v>-10815</v>
      </c>
      <c r="V37" s="65" t="n">
        <f aca="false">-Overheads!V18</f>
        <v>-10815</v>
      </c>
      <c r="W37" s="65" t="n">
        <f aca="false">-Overheads!W18</f>
        <v>-10815</v>
      </c>
      <c r="X37" s="65" t="n">
        <f aca="false">-Overheads!X18</f>
        <v>-10815</v>
      </c>
      <c r="Y37" s="65" t="n">
        <f aca="false">-Overheads!Y18</f>
        <v>-10815</v>
      </c>
      <c r="Z37" s="65" t="n">
        <f aca="false">-Overheads!Z18</f>
        <v>-10815</v>
      </c>
      <c r="AA37" s="65" t="n">
        <f aca="false">-Overheads!AA18</f>
        <v>-10815</v>
      </c>
      <c r="AB37" s="65" t="n">
        <f aca="false">-Overheads!AB18</f>
        <v>-10815</v>
      </c>
    </row>
    <row r="38" customFormat="false" ht="15" hidden="false" customHeight="false" outlineLevel="0" collapsed="false">
      <c r="A38" s="28" t="s">
        <v>401</v>
      </c>
      <c r="B38" s="63" t="s">
        <v>64</v>
      </c>
      <c r="C38" s="64" t="n">
        <f aca="false">SUM(E38:P38)</f>
        <v>-9641.2339821504</v>
      </c>
      <c r="D38" s="64" t="n">
        <f aca="false">SUM(Q38:AB38)</f>
        <v>-725.094421261541</v>
      </c>
      <c r="E38" s="65" t="n">
        <f aca="false">-Receivables!E31</f>
        <v>-4085.884731976</v>
      </c>
      <c r="F38" s="65" t="n">
        <f aca="false">-Receivables!F31</f>
        <v>2552.81222164</v>
      </c>
      <c r="G38" s="65" t="n">
        <f aca="false">-Receivables!G31</f>
        <v>-739.974983568</v>
      </c>
      <c r="H38" s="65" t="n">
        <f aca="false">-Receivables!H31</f>
        <v>-1363.391391304</v>
      </c>
      <c r="I38" s="65" t="n">
        <f aca="false">-Receivables!I31</f>
        <v>1325.6245902</v>
      </c>
      <c r="J38" s="65" t="n">
        <f aca="false">-Receivables!J31</f>
        <v>-9262.269234712</v>
      </c>
      <c r="K38" s="65" t="n">
        <f aca="false">-Receivables!K31</f>
        <v>-525.088017472</v>
      </c>
      <c r="L38" s="65" t="n">
        <f aca="false">-Receivables!L31</f>
        <v>1806.640528688</v>
      </c>
      <c r="M38" s="65" t="n">
        <f aca="false">-Receivables!M31</f>
        <v>227.185615118302</v>
      </c>
      <c r="N38" s="65" t="n">
        <f aca="false">-Receivables!N31</f>
        <v>202.181920135968</v>
      </c>
      <c r="O38" s="65" t="n">
        <f aca="false">-Receivables!O31</f>
        <v>-504.242970687127</v>
      </c>
      <c r="P38" s="65" t="n">
        <f aca="false">-Receivables!P31</f>
        <v>725.17247178646</v>
      </c>
      <c r="Q38" s="65" t="n">
        <f aca="false">-Receivables!Q31</f>
        <v>-2420.09485989446</v>
      </c>
      <c r="R38" s="65" t="n">
        <f aca="false">-Receivables!R31</f>
        <v>1636.93430601578</v>
      </c>
      <c r="S38" s="65" t="n">
        <f aca="false">-Receivables!S31</f>
        <v>-516.41736951834</v>
      </c>
      <c r="T38" s="65" t="n">
        <f aca="false">-Receivables!T31</f>
        <v>-777.474903615251</v>
      </c>
      <c r="U38" s="65" t="n">
        <f aca="false">-Receivables!U31</f>
        <v>1077.89567672183</v>
      </c>
      <c r="V38" s="65" t="n">
        <f aca="false">-Receivables!V31</f>
        <v>125.750782173013</v>
      </c>
      <c r="W38" s="65" t="n">
        <f aca="false">-Receivables!W31</f>
        <v>-356.572056001714</v>
      </c>
      <c r="X38" s="65" t="n">
        <f aca="false">-Receivables!X31</f>
        <v>1397.65843343372</v>
      </c>
      <c r="Y38" s="65" t="n">
        <f aca="false">-Receivables!Y31</f>
        <v>-1153.45477157421</v>
      </c>
      <c r="Z38" s="65" t="n">
        <f aca="false">-Receivables!Z31</f>
        <v>-126.320383419104</v>
      </c>
      <c r="AA38" s="65" t="n">
        <f aca="false">-Receivables!AA31</f>
        <v>-420.960514362611</v>
      </c>
      <c r="AB38" s="65" t="n">
        <f aca="false">-Receivables!AB31</f>
        <v>807.961238779796</v>
      </c>
    </row>
    <row r="39" customFormat="false" ht="15" hidden="false" customHeight="false" outlineLevel="0" collapsed="false">
      <c r="A39" s="28" t="s">
        <v>402</v>
      </c>
      <c r="B39" s="63" t="s">
        <v>60</v>
      </c>
      <c r="C39" s="64" t="n">
        <f aca="false">SUM(E39:P39)</f>
        <v>0</v>
      </c>
      <c r="D39" s="64" t="n">
        <f aca="false">SUM(Q39:AB39)</f>
        <v>0</v>
      </c>
      <c r="E39" s="65" t="n">
        <f aca="false">-People!E218</f>
        <v>-0</v>
      </c>
      <c r="F39" s="65" t="n">
        <f aca="false">-People!F218</f>
        <v>-0</v>
      </c>
      <c r="G39" s="65" t="n">
        <f aca="false">-People!G218</f>
        <v>-0</v>
      </c>
      <c r="H39" s="65" t="n">
        <f aca="false">-People!H218</f>
        <v>-0</v>
      </c>
      <c r="I39" s="65" t="n">
        <f aca="false">-People!I218</f>
        <v>-0</v>
      </c>
      <c r="J39" s="65" t="n">
        <f aca="false">-People!J218</f>
        <v>-0</v>
      </c>
      <c r="K39" s="65" t="n">
        <f aca="false">-People!K218</f>
        <v>-0</v>
      </c>
      <c r="L39" s="65" t="n">
        <f aca="false">-People!L218</f>
        <v>-0</v>
      </c>
      <c r="M39" s="65" t="n">
        <f aca="false">-People!M218</f>
        <v>-0</v>
      </c>
      <c r="N39" s="65" t="n">
        <f aca="false">-People!N218</f>
        <v>-0</v>
      </c>
      <c r="O39" s="65" t="n">
        <f aca="false">-People!O218</f>
        <v>-0</v>
      </c>
      <c r="P39" s="65" t="n">
        <f aca="false">-People!P218</f>
        <v>-0</v>
      </c>
      <c r="Q39" s="65" t="n">
        <f aca="false">-People!Q218</f>
        <v>-0</v>
      </c>
      <c r="R39" s="65" t="n">
        <f aca="false">-People!R218</f>
        <v>-0</v>
      </c>
      <c r="S39" s="65" t="n">
        <f aca="false">-People!S218</f>
        <v>-0</v>
      </c>
      <c r="T39" s="65" t="n">
        <f aca="false">-People!T218</f>
        <v>-0</v>
      </c>
      <c r="U39" s="65" t="n">
        <f aca="false">-People!U218</f>
        <v>-0</v>
      </c>
      <c r="V39" s="65" t="n">
        <f aca="false">-People!V218</f>
        <v>-0</v>
      </c>
      <c r="W39" s="65" t="n">
        <f aca="false">-People!W218</f>
        <v>-0</v>
      </c>
      <c r="X39" s="65" t="n">
        <f aca="false">-People!X218</f>
        <v>-0</v>
      </c>
      <c r="Y39" s="65" t="n">
        <f aca="false">-People!Y218</f>
        <v>-0</v>
      </c>
      <c r="Z39" s="65" t="n">
        <f aca="false">-People!Z218</f>
        <v>-0</v>
      </c>
      <c r="AA39" s="65" t="n">
        <f aca="false">-People!AA218</f>
        <v>-0</v>
      </c>
      <c r="AB39" s="65" t="n">
        <f aca="false">-People!AB218</f>
        <v>-0</v>
      </c>
    </row>
    <row r="40" customFormat="false" ht="15" hidden="false" customHeight="false" outlineLevel="0" collapsed="false">
      <c r="A40" s="59" t="s">
        <v>403</v>
      </c>
      <c r="B40" s="60"/>
      <c r="C40" s="61" t="n">
        <f aca="false">SUM(E40:P40)</f>
        <v>-5705752.86698261</v>
      </c>
      <c r="D40" s="61" t="n">
        <f aca="false">SUM(Q40:AB40)</f>
        <v>-6489906.98164053</v>
      </c>
      <c r="E40" s="61" t="n">
        <f aca="false">SUM(E25:E39)</f>
        <v>-459652.344731976</v>
      </c>
      <c r="F40" s="61" t="n">
        <f aca="false">SUM(F25:F39)</f>
        <v>-472444.339002422</v>
      </c>
      <c r="G40" s="61" t="n">
        <f aca="false">SUM(G25:G39)</f>
        <v>-494715.769479818</v>
      </c>
      <c r="H40" s="61" t="n">
        <f aca="false">SUM(H25:H39)</f>
        <v>-480424.612480054</v>
      </c>
      <c r="I40" s="61" t="n">
        <f aca="false">SUM(I25:I39)</f>
        <v>-496670.794236675</v>
      </c>
      <c r="J40" s="61" t="n">
        <f aca="false">SUM(J25:J39)</f>
        <v>-490550.9965294</v>
      </c>
      <c r="K40" s="61" t="n">
        <f aca="false">SUM(K25:K39)</f>
        <v>-477544.722352472</v>
      </c>
      <c r="L40" s="61" t="n">
        <f aca="false">SUM(L25:L39)</f>
        <v>-451445.650199437</v>
      </c>
      <c r="M40" s="61" t="n">
        <f aca="false">SUM(M25:M39)</f>
        <v>-469186.193531173</v>
      </c>
      <c r="N40" s="61" t="n">
        <f aca="false">SUM(N25:N39)</f>
        <v>-465546.317170377</v>
      </c>
      <c r="O40" s="61" t="n">
        <f aca="false">SUM(O25:O39)</f>
        <v>-476619.741088135</v>
      </c>
      <c r="P40" s="61" t="n">
        <f aca="false">SUM(P25:P39)</f>
        <v>-470951.386180673</v>
      </c>
      <c r="Q40" s="61" t="n">
        <f aca="false">SUM(Q25:Q39)</f>
        <v>-567570.106410111</v>
      </c>
      <c r="R40" s="61" t="n">
        <f aca="false">SUM(R25:R39)</f>
        <v>-531759.719329528</v>
      </c>
      <c r="S40" s="61" t="n">
        <f aca="false">SUM(S25:S39)</f>
        <v>-559561.635805654</v>
      </c>
      <c r="T40" s="61" t="n">
        <f aca="false">SUM(T25:T39)</f>
        <v>-532738.528966783</v>
      </c>
      <c r="U40" s="61" t="n">
        <f aca="false">SUM(U25:U39)</f>
        <v>-561357.077588239</v>
      </c>
      <c r="V40" s="61" t="n">
        <f aca="false">SUM(V25:V39)</f>
        <v>-531043.066712727</v>
      </c>
      <c r="W40" s="61" t="n">
        <f aca="false">SUM(W25:W39)</f>
        <v>-531597.944570467</v>
      </c>
      <c r="X40" s="61" t="n">
        <f aca="false">SUM(X25:X39)</f>
        <v>-516497.965154279</v>
      </c>
      <c r="Y40" s="61" t="n">
        <f aca="false">SUM(Y25:Y39)</f>
        <v>-546984.226290502</v>
      </c>
      <c r="Z40" s="61" t="n">
        <f aca="false">SUM(Z25:Z39)</f>
        <v>-537006.849486789</v>
      </c>
      <c r="AA40" s="61" t="n">
        <f aca="false">SUM(AA25:AA39)</f>
        <v>-537418.392107119</v>
      </c>
      <c r="AB40" s="61" t="n">
        <f aca="false">SUM(AB25:AB39)</f>
        <v>-536371.46921833</v>
      </c>
    </row>
    <row r="41" customFormat="false" ht="15" hidden="false" customHeight="false" outlineLevel="0" collapsed="false">
      <c r="A41" s="59" t="s">
        <v>350</v>
      </c>
      <c r="B41" s="60"/>
      <c r="C41" s="61" t="n">
        <f aca="false">SUM(E41:P41)</f>
        <v>-670368.382614836</v>
      </c>
      <c r="D41" s="61" t="n">
        <f aca="false">SUM(Q41:AB41)</f>
        <v>-139041.390469954</v>
      </c>
      <c r="E41" s="61" t="n">
        <f aca="false">E22+E40</f>
        <v>-80316.1613986426</v>
      </c>
      <c r="F41" s="61" t="n">
        <f aca="false">F22+F40</f>
        <v>-94833.2523357558</v>
      </c>
      <c r="G41" s="61" t="n">
        <f aca="false">G22+G40</f>
        <v>-105483.429479818</v>
      </c>
      <c r="H41" s="61" t="n">
        <f aca="false">H22+H40</f>
        <v>-73737.292480054</v>
      </c>
      <c r="I41" s="61" t="n">
        <f aca="false">I22+I40</f>
        <v>-90125.6709033416</v>
      </c>
      <c r="J41" s="61" t="n">
        <f aca="false">J22+J40</f>
        <v>-82030.1098627328</v>
      </c>
      <c r="K41" s="61" t="n">
        <f aca="false">K22+K40</f>
        <v>-52494.6256858053</v>
      </c>
      <c r="L41" s="61" t="n">
        <f aca="false">L22+L40</f>
        <v>-21128.6868661037</v>
      </c>
      <c r="M41" s="61" t="n">
        <f aca="false">M22+M40</f>
        <v>-29062.7288785742</v>
      </c>
      <c r="N41" s="61" t="n">
        <f aca="false">N22+N40</f>
        <v>-19363.3079623143</v>
      </c>
      <c r="O41" s="61" t="n">
        <f aca="false">O22+O40</f>
        <v>-19255.8060402165</v>
      </c>
      <c r="P41" s="61" t="n">
        <f aca="false">P22+P40</f>
        <v>-2537.31072147761</v>
      </c>
      <c r="Q41" s="61" t="n">
        <f aca="false">Q22+Q40</f>
        <v>-83593.8510723104</v>
      </c>
      <c r="R41" s="61" t="n">
        <f aca="false">R22+R40</f>
        <v>-36520.2043107969</v>
      </c>
      <c r="S41" s="61" t="n">
        <f aca="false">S22+S40</f>
        <v>-60866.7270044282</v>
      </c>
      <c r="T41" s="61" t="n">
        <f aca="false">T22+T40</f>
        <v>-25559.6246218798</v>
      </c>
      <c r="U41" s="61" t="n">
        <f aca="false">U22+U40</f>
        <v>-51202.9767131293</v>
      </c>
      <c r="V41" s="61" t="n">
        <f aca="false">V22+V40</f>
        <v>-9929.41132661025</v>
      </c>
      <c r="W41" s="61" t="n">
        <f aca="false">W22+W40</f>
        <v>-1837.38678112999</v>
      </c>
      <c r="X41" s="61" t="n">
        <f aca="false">X22+X40</f>
        <v>20940.2952690659</v>
      </c>
      <c r="Y41" s="61" t="n">
        <f aca="false">Y22+Y40</f>
        <v>2782.95032502967</v>
      </c>
      <c r="Z41" s="61" t="n">
        <f aca="false">Z22+Z40</f>
        <v>25299.7894403335</v>
      </c>
      <c r="AA41" s="61" t="n">
        <f aca="false">AA22+AA40</f>
        <v>35649.8658278742</v>
      </c>
      <c r="AB41" s="61" t="n">
        <f aca="false">AB22+AB40</f>
        <v>45795.8904980273</v>
      </c>
    </row>
    <row r="42" customFormat="false" ht="15" hidden="false" customHeight="false" outlineLevel="0" collapsed="false">
      <c r="A42" s="28" t="s">
        <v>351</v>
      </c>
      <c r="B42" s="63"/>
      <c r="C42" s="66" t="n">
        <f aca="false">IF(C14=0,0,C41/C14)</f>
        <v>-0.104321692337127</v>
      </c>
      <c r="D42" s="66" t="n">
        <f aca="false">IF(D14=0,0,D41/D14)</f>
        <v>-0.0173183268413918</v>
      </c>
      <c r="E42" s="75" t="n">
        <f aca="false">IF(E14=0,0,E41/E14)</f>
        <v>-0.165381724284019</v>
      </c>
      <c r="F42" s="75" t="n">
        <f aca="false">IF(F14=0,0,F41/F14)</f>
        <v>-0.19557797948682</v>
      </c>
      <c r="G42" s="75" t="n">
        <f aca="false">IF(G14=0,0,G41/G14)</f>
        <v>-0.212990206282058</v>
      </c>
      <c r="H42" s="75" t="n">
        <f aca="false">IF(H14=0,0,H41/H14)</f>
        <v>-0.142282151505633</v>
      </c>
      <c r="I42" s="75" t="n">
        <f aca="false">IF(I14=0,0,I41/I14)</f>
        <v>-0.172929518667787</v>
      </c>
      <c r="J42" s="75" t="n">
        <f aca="false">IF(J14=0,0,J41/J14)</f>
        <v>-0.154934366561111</v>
      </c>
      <c r="K42" s="75" t="n">
        <f aca="false">IF(K14=0,0,K41/K14)</f>
        <v>-0.0963497686652485</v>
      </c>
      <c r="L42" s="75" t="n">
        <f aca="false">IF(L14=0,0,L41/L14)</f>
        <v>-0.0384660314052769</v>
      </c>
      <c r="M42" s="75" t="n">
        <f aca="false">IF(M14=0,0,M41/M14)</f>
        <v>-0.052091937213332</v>
      </c>
      <c r="N42" s="75" t="n">
        <f aca="false">IF(N14=0,0,N41/N14)</f>
        <v>-0.0340890183519931</v>
      </c>
      <c r="O42" s="75" t="n">
        <f aca="false">IF(O14=0,0,O41/O14)</f>
        <v>-0.0332082182628675</v>
      </c>
      <c r="P42" s="75" t="n">
        <f aca="false">IF(P14=0,0,P41/P14)</f>
        <v>-0.00429015292523892</v>
      </c>
      <c r="Q42" s="75" t="n">
        <f aca="false">IF(Q14=0,0,Q41/Q14)</f>
        <v>-0.136699475296317</v>
      </c>
      <c r="R42" s="75" t="n">
        <f aca="false">IF(R14=0,0,R41/R14)</f>
        <v>-0.0585798373410831</v>
      </c>
      <c r="S42" s="75" t="n">
        <f aca="false">IF(S14=0,0,S41/S14)</f>
        <v>-0.0958805090119691</v>
      </c>
      <c r="T42" s="75" t="n">
        <f aca="false">IF(T14=0,0,T41/T14)</f>
        <v>-0.0397016805390968</v>
      </c>
      <c r="U42" s="75" t="n">
        <f aca="false">IF(U14=0,0,U41/U14)</f>
        <v>-0.0785436560235962</v>
      </c>
      <c r="V42" s="75" t="n">
        <f aca="false">IF(V14=0,0,V41/V14)</f>
        <v>-0.0149674076979466</v>
      </c>
      <c r="W42" s="75" t="n">
        <f aca="false">IF(W14=0,0,W41/W14)</f>
        <v>-0.00273212824619462</v>
      </c>
      <c r="X42" s="75" t="n">
        <f aca="false">IF(X14=0,0,X41/X14)</f>
        <v>0.0307679575197185</v>
      </c>
      <c r="Y42" s="75" t="n">
        <f aca="false">IF(Y14=0,0,Y41/Y14)</f>
        <v>0.00401227314675224</v>
      </c>
      <c r="Z42" s="75" t="n">
        <f aca="false">IF(Z14=0,0,Z41/Z14)</f>
        <v>0.0357919045551175</v>
      </c>
      <c r="AA42" s="75" t="n">
        <f aca="false">IF(AA14=0,0,AA41/AA14)</f>
        <v>0.0496335476141216</v>
      </c>
      <c r="AB42" s="75" t="n">
        <f aca="false">IF(AB14=0,0,AB41/AB14)</f>
        <v>0.0629165854681387</v>
      </c>
    </row>
    <row r="43" customFormat="false" ht="15" hidden="false" customHeight="false" outlineLevel="0" collapsed="false">
      <c r="A43" s="22" t="s">
        <v>404</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customFormat="false" ht="15" hidden="false" customHeight="false" outlineLevel="0" collapsed="false">
      <c r="A44" s="28" t="s">
        <v>405</v>
      </c>
      <c r="B44" s="63" t="s">
        <v>62</v>
      </c>
      <c r="C44" s="64" t="n">
        <f aca="false">SUM(E44:P44)</f>
        <v>-493513.959845941</v>
      </c>
      <c r="D44" s="64" t="n">
        <f aca="false">SUM(Q44:AB44)</f>
        <v>-604857.241403368</v>
      </c>
      <c r="E44" s="65" t="n">
        <f aca="false">-Capitalised_Costs!E12</f>
        <v>-37155.56</v>
      </c>
      <c r="F44" s="65" t="n">
        <f aca="false">-Capitalised_Costs!F12</f>
        <v>-37709.1233333333</v>
      </c>
      <c r="G44" s="65" t="n">
        <f aca="false">-Capitalised_Costs!G12</f>
        <v>-38407.4422222222</v>
      </c>
      <c r="H44" s="65" t="n">
        <f aca="false">-Capitalised_Costs!H12</f>
        <v>-39130.3855555556</v>
      </c>
      <c r="I44" s="65" t="n">
        <f aca="false">-Capitalised_Costs!I12</f>
        <v>-39874.005</v>
      </c>
      <c r="J44" s="65" t="n">
        <f aca="false">-Capitalised_Costs!J12</f>
        <v>-40642.9077777778</v>
      </c>
      <c r="K44" s="65" t="n">
        <f aca="false">-Capitalised_Costs!K12</f>
        <v>-41463.6419444445</v>
      </c>
      <c r="L44" s="65" t="n">
        <f aca="false">-Capitalised_Costs!L12</f>
        <v>-42284.4055555556</v>
      </c>
      <c r="M44" s="65" t="n">
        <f aca="false">-Capitalised_Costs!M12</f>
        <v>-43042.5388888889</v>
      </c>
      <c r="N44" s="65" t="n">
        <f aca="false">-Capitalised_Costs!N12</f>
        <v>-43818.0705859136</v>
      </c>
      <c r="O44" s="65" t="n">
        <f aca="false">-Capitalised_Costs!O12</f>
        <v>-44572.8955659681</v>
      </c>
      <c r="P44" s="65" t="n">
        <f aca="false">-Capitalised_Costs!P12</f>
        <v>-45412.9834162817</v>
      </c>
      <c r="Q44" s="65" t="n">
        <f aca="false">-Capitalised_Costs!Q12</f>
        <v>-46216.5206050625</v>
      </c>
      <c r="R44" s="65" t="n">
        <f aca="false">-Capitalised_Costs!R12</f>
        <v>-46915.4439294808</v>
      </c>
      <c r="S44" s="65" t="n">
        <f aca="false">-Capitalised_Costs!S12</f>
        <v>-47599.5635866159</v>
      </c>
      <c r="T44" s="65" t="n">
        <f aca="false">-Capitalised_Costs!T12</f>
        <v>-48395.017463467</v>
      </c>
      <c r="U44" s="65" t="n">
        <f aca="false">-Capitalised_Costs!U12</f>
        <v>-49233.1392214605</v>
      </c>
      <c r="V44" s="65" t="n">
        <f aca="false">-Capitalised_Costs!V12</f>
        <v>-50021.5306584453</v>
      </c>
      <c r="W44" s="65" t="n">
        <f aca="false">-Capitalised_Costs!W12</f>
        <v>-50822.9000198289</v>
      </c>
      <c r="X44" s="65" t="n">
        <f aca="false">-Capitalised_Costs!X12</f>
        <v>-51497.5681051785</v>
      </c>
      <c r="Y44" s="65" t="n">
        <f aca="false">-Capitalised_Costs!Y12</f>
        <v>-52207.2705240445</v>
      </c>
      <c r="Z44" s="65" t="n">
        <f aca="false">-Capitalised_Costs!Z12</f>
        <v>-53114.7361390024</v>
      </c>
      <c r="AA44" s="65" t="n">
        <f aca="false">-Capitalised_Costs!AA12</f>
        <v>-53976.4231786642</v>
      </c>
      <c r="AB44" s="65" t="n">
        <f aca="false">-Capitalised_Costs!AB12</f>
        <v>-54857.127972118</v>
      </c>
    </row>
    <row r="45" customFormat="false" ht="15" hidden="false" customHeight="false" outlineLevel="0" collapsed="false">
      <c r="A45" s="28" t="s">
        <v>406</v>
      </c>
      <c r="B45" s="63" t="s">
        <v>78</v>
      </c>
      <c r="C45" s="64" t="n">
        <f aca="false">SUM(E45:P45)</f>
        <v>-73776.5335185185</v>
      </c>
      <c r="D45" s="64" t="n">
        <f aca="false">SUM(Q45:AB45)</f>
        <v>-91562.8628156658</v>
      </c>
      <c r="E45" s="65" t="n">
        <f aca="false">-Fixed_Assets!E11</f>
        <v>-5300</v>
      </c>
      <c r="F45" s="65" t="n">
        <f aca="false">-Fixed_Assets!F11</f>
        <v>-5437.34361111111</v>
      </c>
      <c r="G45" s="65" t="n">
        <f aca="false">-Fixed_Assets!G11</f>
        <v>-5614.37055555556</v>
      </c>
      <c r="H45" s="65" t="n">
        <f aca="false">-Fixed_Assets!H11</f>
        <v>-5797.90416666667</v>
      </c>
      <c r="I45" s="65" t="n">
        <f aca="false">-Fixed_Assets!I11</f>
        <v>-5983.25638888889</v>
      </c>
      <c r="J45" s="65" t="n">
        <f aca="false">-Fixed_Assets!J11</f>
        <v>-6150.31277777778</v>
      </c>
      <c r="K45" s="65" t="n">
        <f aca="false">-Fixed_Assets!K11</f>
        <v>-6287.62944444445</v>
      </c>
      <c r="L45" s="65" t="n">
        <f aca="false">-Fixed_Assets!L11</f>
        <v>-6418.22305555556</v>
      </c>
      <c r="M45" s="65" t="n">
        <f aca="false">-Fixed_Assets!M11</f>
        <v>-6485.97638888889</v>
      </c>
      <c r="N45" s="65" t="n">
        <f aca="false">-Fixed_Assets!N11</f>
        <v>-6616.53194444445</v>
      </c>
      <c r="O45" s="65" t="n">
        <f aca="false">-Fixed_Assets!O11</f>
        <v>-6747.0875</v>
      </c>
      <c r="P45" s="65" t="n">
        <f aca="false">-Fixed_Assets!P11</f>
        <v>-6937.89768518519</v>
      </c>
      <c r="Q45" s="65" t="n">
        <f aca="false">-Fixed_Assets!Q11</f>
        <v>-7075.56336033951</v>
      </c>
      <c r="R45" s="65" t="n">
        <f aca="false">-Fixed_Assets!R11</f>
        <v>-7582.44836133616</v>
      </c>
      <c r="S45" s="65" t="n">
        <f aca="false">-Fixed_Assets!S11</f>
        <v>-7721.00460481154</v>
      </c>
      <c r="T45" s="65" t="n">
        <f aca="false">-Fixed_Assets!T11</f>
        <v>-7965.09959298126</v>
      </c>
      <c r="U45" s="65" t="n">
        <f aca="false">-Fixed_Assets!U11</f>
        <v>-8161.27577736552</v>
      </c>
      <c r="V45" s="65" t="n">
        <f aca="false">-Fixed_Assets!V11</f>
        <v>-8410.15698116123</v>
      </c>
      <c r="W45" s="65" t="n">
        <f aca="false">-Fixed_Assets!W11</f>
        <v>-8555.17003936001</v>
      </c>
      <c r="X45" s="65" t="n">
        <f aca="false">-Fixed_Assets!X11</f>
        <v>-8700.68216567615</v>
      </c>
      <c r="Y45" s="65" t="n">
        <f aca="false">-Fixed_Assets!Y11</f>
        <v>-8847.91886893131</v>
      </c>
      <c r="Z45" s="65" t="n">
        <f aca="false">-Fixed_Assets!Z11</f>
        <v>-8500.67583206108</v>
      </c>
      <c r="AA45" s="65" t="n">
        <f aca="false">-Fixed_Assets!AA11</f>
        <v>-4947.84729807671</v>
      </c>
      <c r="AB45" s="65" t="n">
        <f aca="false">-Fixed_Assets!AB11</f>
        <v>-5095.01993356532</v>
      </c>
    </row>
    <row r="46" customFormat="false" ht="15" hidden="false" customHeight="false" outlineLevel="0" collapsed="false">
      <c r="A46" s="59" t="s">
        <v>407</v>
      </c>
      <c r="B46" s="60"/>
      <c r="C46" s="61" t="n">
        <f aca="false">SUM(E46:P46)</f>
        <v>-1237658.8759793</v>
      </c>
      <c r="D46" s="61" t="n">
        <f aca="false">SUM(Q46:AB46)</f>
        <v>-835461.494688988</v>
      </c>
      <c r="E46" s="61" t="n">
        <f aca="false">E41+E44+E45</f>
        <v>-122771.721398643</v>
      </c>
      <c r="F46" s="61" t="n">
        <f aca="false">F41+F44+F45</f>
        <v>-137979.7192802</v>
      </c>
      <c r="G46" s="61" t="n">
        <f aca="false">G41+G44+G45</f>
        <v>-149505.242257596</v>
      </c>
      <c r="H46" s="61" t="n">
        <f aca="false">H41+H44+H45</f>
        <v>-118665.582202276</v>
      </c>
      <c r="I46" s="61" t="n">
        <f aca="false">I41+I44+I45</f>
        <v>-135982.93229223</v>
      </c>
      <c r="J46" s="61" t="n">
        <f aca="false">J41+J44+J45</f>
        <v>-128823.330418288</v>
      </c>
      <c r="K46" s="61" t="n">
        <f aca="false">K41+K44+K45</f>
        <v>-100245.897074694</v>
      </c>
      <c r="L46" s="61" t="n">
        <f aca="false">L41+L44+L45</f>
        <v>-69831.3154772148</v>
      </c>
      <c r="M46" s="61" t="n">
        <f aca="false">M41+M44+M45</f>
        <v>-78591.244156352</v>
      </c>
      <c r="N46" s="61" t="n">
        <f aca="false">N41+N44+N45</f>
        <v>-69797.9104926724</v>
      </c>
      <c r="O46" s="61" t="n">
        <f aca="false">O41+O44+O45</f>
        <v>-70575.7891061846</v>
      </c>
      <c r="P46" s="61" t="n">
        <f aca="false">P41+P44+P45</f>
        <v>-54888.1918229445</v>
      </c>
      <c r="Q46" s="61" t="n">
        <f aca="false">Q41+Q44+Q45</f>
        <v>-136885.935037712</v>
      </c>
      <c r="R46" s="61" t="n">
        <f aca="false">R41+R44+R45</f>
        <v>-91018.0966016139</v>
      </c>
      <c r="S46" s="61" t="n">
        <f aca="false">S41+S44+S45</f>
        <v>-116187.295195856</v>
      </c>
      <c r="T46" s="61" t="n">
        <f aca="false">T41+T44+T45</f>
        <v>-81919.741678328</v>
      </c>
      <c r="U46" s="61" t="n">
        <f aca="false">U41+U44+U45</f>
        <v>-108597.391711955</v>
      </c>
      <c r="V46" s="61" t="n">
        <f aca="false">V41+V44+V45</f>
        <v>-68361.0989662168</v>
      </c>
      <c r="W46" s="61" t="n">
        <f aca="false">W41+W44+W45</f>
        <v>-61215.4568403189</v>
      </c>
      <c r="X46" s="61" t="n">
        <f aca="false">X41+X44+X45</f>
        <v>-39257.9550017888</v>
      </c>
      <c r="Y46" s="61" t="n">
        <f aca="false">Y41+Y44+Y45</f>
        <v>-58272.2390679462</v>
      </c>
      <c r="Z46" s="61" t="n">
        <f aca="false">Z41+Z44+Z45</f>
        <v>-36315.62253073</v>
      </c>
      <c r="AA46" s="61" t="n">
        <f aca="false">AA41+AA44+AA45</f>
        <v>-23274.4046488667</v>
      </c>
      <c r="AB46" s="61" t="n">
        <f aca="false">AB41+AB44+AB45</f>
        <v>-14156.257407656</v>
      </c>
    </row>
    <row r="47" customFormat="false" ht="15" hidden="false" customHeight="false" outlineLevel="0" collapsed="false">
      <c r="A47" s="28" t="s">
        <v>408</v>
      </c>
      <c r="B47" s="63" t="s">
        <v>80</v>
      </c>
      <c r="C47" s="64" t="n">
        <f aca="false">SUM(E47:P47)</f>
        <v>-205138.8885</v>
      </c>
      <c r="D47" s="64" t="n">
        <f aca="false">SUM(Q47:AB47)</f>
        <v>-148749.9951</v>
      </c>
      <c r="E47" s="65" t="n">
        <f aca="false">-Financing!E11</f>
        <v>-17500</v>
      </c>
      <c r="F47" s="65" t="n">
        <f aca="false">-Financing!F11</f>
        <v>-17500</v>
      </c>
      <c r="G47" s="65" t="n">
        <f aca="false">-Financing!G11</f>
        <v>-17500</v>
      </c>
      <c r="H47" s="65" t="n">
        <f aca="false">-Financing!H11</f>
        <v>-17500</v>
      </c>
      <c r="I47" s="65" t="n">
        <f aca="false">-Financing!I11</f>
        <v>-17500</v>
      </c>
      <c r="J47" s="65" t="n">
        <f aca="false">-Financing!J11</f>
        <v>-17500</v>
      </c>
      <c r="K47" s="65" t="n">
        <f aca="false">-Financing!K11</f>
        <v>-17500</v>
      </c>
      <c r="L47" s="65" t="n">
        <f aca="false">-Financing!L11</f>
        <v>-17500</v>
      </c>
      <c r="M47" s="65" t="n">
        <f aca="false">-Financing!M11</f>
        <v>-17013.88885</v>
      </c>
      <c r="N47" s="65" t="n">
        <f aca="false">-Financing!N11</f>
        <v>-16527.7777</v>
      </c>
      <c r="O47" s="65" t="n">
        <f aca="false">-Financing!O11</f>
        <v>-16041.66655</v>
      </c>
      <c r="P47" s="65" t="n">
        <f aca="false">-Financing!P11</f>
        <v>-15555.5554</v>
      </c>
      <c r="Q47" s="65" t="n">
        <f aca="false">-Financing!Q11</f>
        <v>-15069.44425</v>
      </c>
      <c r="R47" s="65" t="n">
        <f aca="false">-Financing!R11</f>
        <v>-14583.3331</v>
      </c>
      <c r="S47" s="65" t="n">
        <f aca="false">-Financing!S11</f>
        <v>-14097.22195</v>
      </c>
      <c r="T47" s="65" t="n">
        <f aca="false">-Financing!T11</f>
        <v>-13611.1108</v>
      </c>
      <c r="U47" s="65" t="n">
        <f aca="false">-Financing!U11</f>
        <v>-13124.99965</v>
      </c>
      <c r="V47" s="65" t="n">
        <f aca="false">-Financing!V11</f>
        <v>-12638.8885</v>
      </c>
      <c r="W47" s="65" t="n">
        <f aca="false">-Financing!W11</f>
        <v>-12152.77735</v>
      </c>
      <c r="X47" s="65" t="n">
        <f aca="false">-Financing!X11</f>
        <v>-11666.6662</v>
      </c>
      <c r="Y47" s="65" t="n">
        <f aca="false">-Financing!Y11</f>
        <v>-11180.55505</v>
      </c>
      <c r="Z47" s="65" t="n">
        <f aca="false">-Financing!Z11</f>
        <v>-10694.4439</v>
      </c>
      <c r="AA47" s="65" t="n">
        <f aca="false">-Financing!AA11</f>
        <v>-10208.33275</v>
      </c>
      <c r="AB47" s="65" t="n">
        <f aca="false">-Financing!AB11</f>
        <v>-9722.22159999999</v>
      </c>
    </row>
    <row r="48" customFormat="false" ht="15" hidden="false" customHeight="false" outlineLevel="0" collapsed="false">
      <c r="A48" s="59" t="s">
        <v>409</v>
      </c>
      <c r="B48" s="60"/>
      <c r="C48" s="61" t="n">
        <f aca="false">SUM(E48:P48)</f>
        <v>-1442797.7644793</v>
      </c>
      <c r="D48" s="61" t="n">
        <f aca="false">SUM(Q48:AB48)</f>
        <v>-984211.489788988</v>
      </c>
      <c r="E48" s="61" t="n">
        <f aca="false">E46+E47</f>
        <v>-140271.721398643</v>
      </c>
      <c r="F48" s="61" t="n">
        <f aca="false">F46+F47</f>
        <v>-155479.7192802</v>
      </c>
      <c r="G48" s="61" t="n">
        <f aca="false">G46+G47</f>
        <v>-167005.242257596</v>
      </c>
      <c r="H48" s="61" t="n">
        <f aca="false">H46+H47</f>
        <v>-136165.582202276</v>
      </c>
      <c r="I48" s="61" t="n">
        <f aca="false">I46+I47</f>
        <v>-153482.93229223</v>
      </c>
      <c r="J48" s="61" t="n">
        <f aca="false">J46+J47</f>
        <v>-146323.330418288</v>
      </c>
      <c r="K48" s="61" t="n">
        <f aca="false">K46+K47</f>
        <v>-117745.897074694</v>
      </c>
      <c r="L48" s="61" t="n">
        <f aca="false">L46+L47</f>
        <v>-87331.3154772148</v>
      </c>
      <c r="M48" s="61" t="n">
        <f aca="false">M46+M47</f>
        <v>-95605.133006352</v>
      </c>
      <c r="N48" s="61" t="n">
        <f aca="false">N46+N47</f>
        <v>-86325.6881926724</v>
      </c>
      <c r="O48" s="61" t="n">
        <f aca="false">O46+O47</f>
        <v>-86617.4556561846</v>
      </c>
      <c r="P48" s="61" t="n">
        <f aca="false">P46+P47</f>
        <v>-70443.7472229445</v>
      </c>
      <c r="Q48" s="61" t="n">
        <f aca="false">Q46+Q47</f>
        <v>-151955.379287712</v>
      </c>
      <c r="R48" s="61" t="n">
        <f aca="false">R46+R47</f>
        <v>-105601.429701614</v>
      </c>
      <c r="S48" s="61" t="n">
        <f aca="false">S46+S47</f>
        <v>-130284.517145856</v>
      </c>
      <c r="T48" s="61" t="n">
        <f aca="false">T46+T47</f>
        <v>-95530.852478328</v>
      </c>
      <c r="U48" s="61" t="n">
        <f aca="false">U46+U47</f>
        <v>-121722.391361955</v>
      </c>
      <c r="V48" s="61" t="n">
        <f aca="false">V46+V47</f>
        <v>-80999.9874662168</v>
      </c>
      <c r="W48" s="61" t="n">
        <f aca="false">W46+W47</f>
        <v>-73368.2341903189</v>
      </c>
      <c r="X48" s="61" t="n">
        <f aca="false">X46+X47</f>
        <v>-50924.6212017888</v>
      </c>
      <c r="Y48" s="61" t="n">
        <f aca="false">Y46+Y47</f>
        <v>-69452.7941179462</v>
      </c>
      <c r="Z48" s="61" t="n">
        <f aca="false">Z46+Z47</f>
        <v>-47010.06643073</v>
      </c>
      <c r="AA48" s="61" t="n">
        <f aca="false">AA46+AA47</f>
        <v>-33482.7373988667</v>
      </c>
      <c r="AB48" s="61" t="n">
        <f aca="false">AB46+AB47</f>
        <v>-23878.4790076559</v>
      </c>
    </row>
    <row r="49" customFormat="false" ht="15" hidden="false" customHeight="false" outlineLevel="0" collapsed="false">
      <c r="A49" s="28" t="s">
        <v>410</v>
      </c>
      <c r="B49" s="63" t="s">
        <v>74</v>
      </c>
      <c r="C49" s="64" t="n">
        <f aca="false">SUM(E49:P49)</f>
        <v>0</v>
      </c>
      <c r="D49" s="64" t="n">
        <f aca="false">SUM(Q49:AB49)</f>
        <v>0</v>
      </c>
      <c r="E49" s="65" t="n">
        <f aca="false">-Tax!E26</f>
        <v>-0</v>
      </c>
      <c r="F49" s="65" t="n">
        <f aca="false">-Tax!F26</f>
        <v>-0</v>
      </c>
      <c r="G49" s="65" t="n">
        <f aca="false">-Tax!G26</f>
        <v>-0</v>
      </c>
      <c r="H49" s="65" t="n">
        <f aca="false">-Tax!H26</f>
        <v>-0</v>
      </c>
      <c r="I49" s="65" t="n">
        <f aca="false">-Tax!I26</f>
        <v>-0</v>
      </c>
      <c r="J49" s="65" t="n">
        <f aca="false">-Tax!J26</f>
        <v>-0</v>
      </c>
      <c r="K49" s="65" t="n">
        <f aca="false">-Tax!K26</f>
        <v>-0</v>
      </c>
      <c r="L49" s="65" t="n">
        <f aca="false">-Tax!L26</f>
        <v>-0</v>
      </c>
      <c r="M49" s="65" t="n">
        <f aca="false">-Tax!M26</f>
        <v>-0</v>
      </c>
      <c r="N49" s="65" t="n">
        <f aca="false">-Tax!N26</f>
        <v>-0</v>
      </c>
      <c r="O49" s="65" t="n">
        <f aca="false">-Tax!O26</f>
        <v>-0</v>
      </c>
      <c r="P49" s="65" t="n">
        <f aca="false">-Tax!P26</f>
        <v>-0</v>
      </c>
      <c r="Q49" s="65" t="n">
        <f aca="false">-Tax!Q26</f>
        <v>-0</v>
      </c>
      <c r="R49" s="65" t="n">
        <f aca="false">-Tax!R26</f>
        <v>-0</v>
      </c>
      <c r="S49" s="65" t="n">
        <f aca="false">-Tax!S26</f>
        <v>-0</v>
      </c>
      <c r="T49" s="65" t="n">
        <f aca="false">-Tax!T26</f>
        <v>-0</v>
      </c>
      <c r="U49" s="65" t="n">
        <f aca="false">-Tax!U26</f>
        <v>-0</v>
      </c>
      <c r="V49" s="65" t="n">
        <f aca="false">-Tax!V26</f>
        <v>-0</v>
      </c>
      <c r="W49" s="65" t="n">
        <f aca="false">-Tax!W26</f>
        <v>-0</v>
      </c>
      <c r="X49" s="65" t="n">
        <f aca="false">-Tax!X26</f>
        <v>-0</v>
      </c>
      <c r="Y49" s="65" t="n">
        <f aca="false">-Tax!Y26</f>
        <v>-0</v>
      </c>
      <c r="Z49" s="65" t="n">
        <f aca="false">-Tax!Z26</f>
        <v>-0</v>
      </c>
      <c r="AA49" s="65" t="n">
        <f aca="false">-Tax!AA26</f>
        <v>-0</v>
      </c>
      <c r="AB49" s="65" t="n">
        <f aca="false">-Tax!AB26</f>
        <v>-0</v>
      </c>
    </row>
    <row r="50" customFormat="false" ht="15" hidden="false" customHeight="false" outlineLevel="0" collapsed="false">
      <c r="A50" s="59" t="s">
        <v>411</v>
      </c>
      <c r="B50" s="60"/>
      <c r="C50" s="61" t="n">
        <f aca="false">SUM(E50:P50)</f>
        <v>-1442797.7644793</v>
      </c>
      <c r="D50" s="61" t="n">
        <f aca="false">SUM(Q50:AB50)</f>
        <v>-984211.489788988</v>
      </c>
      <c r="E50" s="61" t="n">
        <f aca="false">E48+E49</f>
        <v>-140271.721398643</v>
      </c>
      <c r="F50" s="61" t="n">
        <f aca="false">F48+F49</f>
        <v>-155479.7192802</v>
      </c>
      <c r="G50" s="61" t="n">
        <f aca="false">G48+G49</f>
        <v>-167005.242257596</v>
      </c>
      <c r="H50" s="61" t="n">
        <f aca="false">H48+H49</f>
        <v>-136165.582202276</v>
      </c>
      <c r="I50" s="61" t="n">
        <f aca="false">I48+I49</f>
        <v>-153482.93229223</v>
      </c>
      <c r="J50" s="61" t="n">
        <f aca="false">J48+J49</f>
        <v>-146323.330418288</v>
      </c>
      <c r="K50" s="61" t="n">
        <f aca="false">K48+K49</f>
        <v>-117745.897074694</v>
      </c>
      <c r="L50" s="61" t="n">
        <f aca="false">L48+L49</f>
        <v>-87331.3154772148</v>
      </c>
      <c r="M50" s="61" t="n">
        <f aca="false">M48+M49</f>
        <v>-95605.133006352</v>
      </c>
      <c r="N50" s="61" t="n">
        <f aca="false">N48+N49</f>
        <v>-86325.6881926724</v>
      </c>
      <c r="O50" s="61" t="n">
        <f aca="false">O48+O49</f>
        <v>-86617.4556561846</v>
      </c>
      <c r="P50" s="61" t="n">
        <f aca="false">P48+P49</f>
        <v>-70443.7472229445</v>
      </c>
      <c r="Q50" s="61" t="n">
        <f aca="false">Q48+Q49</f>
        <v>-151955.379287712</v>
      </c>
      <c r="R50" s="61" t="n">
        <f aca="false">R48+R49</f>
        <v>-105601.429701614</v>
      </c>
      <c r="S50" s="61" t="n">
        <f aca="false">S48+S49</f>
        <v>-130284.517145856</v>
      </c>
      <c r="T50" s="61" t="n">
        <f aca="false">T48+T49</f>
        <v>-95530.852478328</v>
      </c>
      <c r="U50" s="61" t="n">
        <f aca="false">U48+U49</f>
        <v>-121722.391361955</v>
      </c>
      <c r="V50" s="61" t="n">
        <f aca="false">V48+V49</f>
        <v>-80999.9874662168</v>
      </c>
      <c r="W50" s="61" t="n">
        <f aca="false">W48+W49</f>
        <v>-73368.2341903189</v>
      </c>
      <c r="X50" s="61" t="n">
        <f aca="false">X48+X49</f>
        <v>-50924.6212017888</v>
      </c>
      <c r="Y50" s="61" t="n">
        <f aca="false">Y48+Y49</f>
        <v>-69452.7941179462</v>
      </c>
      <c r="Z50" s="61" t="n">
        <f aca="false">Z48+Z49</f>
        <v>-47010.06643073</v>
      </c>
      <c r="AA50" s="61" t="n">
        <f aca="false">AA48+AA49</f>
        <v>-33482.7373988667</v>
      </c>
      <c r="AB50" s="61" t="n">
        <f aca="false">AB48+AB49</f>
        <v>-23878.4790076559</v>
      </c>
    </row>
    <row r="51" customFormat="false" ht="15" hidden="false" customHeight="false" outlineLevel="0" collapsed="false">
      <c r="A51" s="28" t="s">
        <v>412</v>
      </c>
      <c r="B51" s="63"/>
      <c r="C51" s="66" t="n">
        <f aca="false">IF(C14=0,0,C50/C14)</f>
        <v>-0.224525959747094</v>
      </c>
      <c r="D51" s="66" t="n">
        <f aca="false">IF(D14=0,0,D50/D14)</f>
        <v>-0.122588649348282</v>
      </c>
      <c r="E51" s="75" t="n">
        <f aca="false">IF(E14=0,0,E50/E14)</f>
        <v>-0.288838245618484</v>
      </c>
      <c r="F51" s="75" t="n">
        <f aca="false">IF(F14=0,0,F50/F14)</f>
        <v>-0.320651339050769</v>
      </c>
      <c r="G51" s="75" t="n">
        <f aca="false">IF(G14=0,0,G50/G14)</f>
        <v>-0.337213922357691</v>
      </c>
      <c r="H51" s="75" t="n">
        <f aca="false">IF(H14=0,0,H50/H14)</f>
        <v>-0.262742654973367</v>
      </c>
      <c r="I51" s="75" t="n">
        <f aca="false">IF(I14=0,0,I50/I14)</f>
        <v>-0.294496887945296</v>
      </c>
      <c r="J51" s="75" t="n">
        <f aca="false">IF(J14=0,0,J50/J14)</f>
        <v>-0.276368184187562</v>
      </c>
      <c r="K51" s="75" t="n">
        <f aca="false">IF(K14=0,0,K50/K14)</f>
        <v>-0.216113360105292</v>
      </c>
      <c r="L51" s="75" t="n">
        <f aca="false">IF(L14=0,0,L50/L14)</f>
        <v>-0.158991855248701</v>
      </c>
      <c r="M51" s="75" t="n">
        <f aca="false">IF(M14=0,0,M50/M14)</f>
        <v>-0.17136231792434</v>
      </c>
      <c r="N51" s="75" t="n">
        <f aca="false">IF(N14=0,0,N50/N14)</f>
        <v>-0.151975993708087</v>
      </c>
      <c r="O51" s="75" t="n">
        <f aca="false">IF(O14=0,0,O50/O14)</f>
        <v>-0.149378912874243</v>
      </c>
      <c r="P51" s="75" t="n">
        <f aca="false">IF(P14=0,0,P50/P14)</f>
        <v>-0.119108174515304</v>
      </c>
      <c r="Q51" s="75" t="n">
        <f aca="false">IF(Q14=0,0,Q50/Q14)</f>
        <v>-0.248489815346761</v>
      </c>
      <c r="R51" s="75" t="n">
        <f aca="false">IF(R14=0,0,R50/R14)</f>
        <v>-0.169388827134176</v>
      </c>
      <c r="S51" s="75" t="n">
        <f aca="false">IF(S14=0,0,S50/S14)</f>
        <v>-0.205231107948591</v>
      </c>
      <c r="T51" s="75" t="n">
        <f aca="false">IF(T14=0,0,T50/T14)</f>
        <v>-0.148387757755858</v>
      </c>
      <c r="U51" s="75" t="n">
        <f aca="false">IF(U14=0,0,U50/U14)</f>
        <v>-0.18671808264326</v>
      </c>
      <c r="V51" s="75" t="n">
        <f aca="false">IF(V14=0,0,V50/V14)</f>
        <v>-0.122097856162568</v>
      </c>
      <c r="W51" s="75" t="n">
        <f aca="false">IF(W14=0,0,W50/W14)</f>
        <v>-0.109095932910497</v>
      </c>
      <c r="X51" s="75" t="n">
        <f aca="false">IF(X14=0,0,X50/X14)</f>
        <v>-0.0748244741400101</v>
      </c>
      <c r="Y51" s="75" t="n">
        <f aca="false">IF(Y14=0,0,Y50/Y14)</f>
        <v>-0.100132430787594</v>
      </c>
      <c r="Z51" s="75" t="n">
        <f aca="false">IF(Z14=0,0,Z50/Z14)</f>
        <v>-0.066505684357041</v>
      </c>
      <c r="AA51" s="75" t="n">
        <f aca="false">IF(AA14=0,0,AA50/AA14)</f>
        <v>-0.0466163617266236</v>
      </c>
      <c r="AB51" s="75" t="n">
        <f aca="false">IF(AB14=0,0,AB50/AB14)</f>
        <v>-0.0328053969252777</v>
      </c>
    </row>
    <row r="52" customFormat="false" ht="15" hidden="false" customHeight="false" outlineLevel="0" collapsed="false">
      <c r="A52" s="22" t="s">
        <v>413</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customFormat="false" ht="15" hidden="false" customHeight="false" outlineLevel="0" collapsed="false">
      <c r="A53" s="28" t="s">
        <v>414</v>
      </c>
      <c r="B53" s="63"/>
      <c r="C53" s="64" t="n">
        <f aca="false">SUM(E53:P53)</f>
        <v>-1897181.61890187</v>
      </c>
      <c r="D53" s="64" t="n">
        <f aca="false">SUM(Q53:AB53)</f>
        <v>-2262070.35230221</v>
      </c>
      <c r="E53" s="74" t="n">
        <f aca="false">E25+E26</f>
        <v>-149478.34</v>
      </c>
      <c r="F53" s="74" t="n">
        <f aca="false">F25+F26</f>
        <v>-152919.06</v>
      </c>
      <c r="G53" s="74" t="n">
        <f aca="false">G25+G26</f>
        <v>-156885.7</v>
      </c>
      <c r="H53" s="74" t="n">
        <f aca="false">H25+H26</f>
        <v>-157739.88</v>
      </c>
      <c r="I53" s="74" t="n">
        <f aca="false">I25+I26</f>
        <v>-160252.53</v>
      </c>
      <c r="J53" s="74" t="n">
        <f aca="false">J25+J26</f>
        <v>-160315.85</v>
      </c>
      <c r="K53" s="74" t="n">
        <f aca="false">K25+K26</f>
        <v>-159319.05</v>
      </c>
      <c r="L53" s="74" t="n">
        <f aca="false">L25+L26</f>
        <v>-159718.82</v>
      </c>
      <c r="M53" s="74" t="n">
        <f aca="false">M25+M26</f>
        <v>-161295.37544739</v>
      </c>
      <c r="N53" s="74" t="n">
        <f aca="false">N25+N26</f>
        <v>-159749.584177292</v>
      </c>
      <c r="O53" s="74" t="n">
        <f aca="false">O25+O26</f>
        <v>-159746.244142093</v>
      </c>
      <c r="P53" s="74" t="n">
        <f aca="false">P25+P26</f>
        <v>-159761.185135093</v>
      </c>
      <c r="Q53" s="74" t="n">
        <f aca="false">Q25+Q26</f>
        <v>-184717.720179691</v>
      </c>
      <c r="R53" s="74" t="n">
        <f aca="false">R25+R26</f>
        <v>-184536.462300202</v>
      </c>
      <c r="S53" s="74" t="n">
        <f aca="false">S25+S26</f>
        <v>-184357.07191752</v>
      </c>
      <c r="T53" s="74" t="n">
        <f aca="false">T25+T26</f>
        <v>-187772.816454269</v>
      </c>
      <c r="U53" s="74" t="n">
        <f aca="false">U25+U26</f>
        <v>-187740.360243459</v>
      </c>
      <c r="V53" s="74" t="n">
        <f aca="false">V25+V26</f>
        <v>-187706.529710159</v>
      </c>
      <c r="W53" s="74" t="n">
        <f aca="false">W25+W26</f>
        <v>-187707.193330261</v>
      </c>
      <c r="X53" s="74" t="n">
        <f aca="false">X25+X26</f>
        <v>-187707.524973538</v>
      </c>
      <c r="Y53" s="74" t="n">
        <f aca="false">Y25+Y26</f>
        <v>-192515.794504848</v>
      </c>
      <c r="Z53" s="74" t="n">
        <f aca="false">Z25+Z26</f>
        <v>-192467.708493368</v>
      </c>
      <c r="AA53" s="74" t="n">
        <f aca="false">AA25+AA26</f>
        <v>-192420.106658218</v>
      </c>
      <c r="AB53" s="74" t="n">
        <f aca="false">AB25+AB26</f>
        <v>-192421.063536681</v>
      </c>
    </row>
    <row r="54" customFormat="false" ht="15" hidden="false" customHeight="false" outlineLevel="0" collapsed="false">
      <c r="A54" s="28" t="s">
        <v>415</v>
      </c>
      <c r="B54" s="63"/>
      <c r="C54" s="64" t="n">
        <f aca="false">SUM(E54:P54)</f>
        <v>-2478766.5833306</v>
      </c>
      <c r="D54" s="64" t="n">
        <f aca="false">SUM(Q54:AB54)</f>
        <v>-2785869.79485621</v>
      </c>
      <c r="E54" s="74" t="n">
        <f aca="false">E27+E28+E29+E30</f>
        <v>-201120.09</v>
      </c>
      <c r="F54" s="74" t="n">
        <f aca="false">F27+F28+F29+F30</f>
        <v>-209902.281224062</v>
      </c>
      <c r="G54" s="74" t="n">
        <f aca="false">G27+G28+G29+G30</f>
        <v>-209365.41449625</v>
      </c>
      <c r="H54" s="74" t="n">
        <f aca="false">H27+H28+H29+H30</f>
        <v>-207540.15108875</v>
      </c>
      <c r="I54" s="74" t="n">
        <f aca="false">I27+I28+I29+I30</f>
        <v>-227471.458826875</v>
      </c>
      <c r="J54" s="74" t="n">
        <f aca="false">J27+J28+J29+J30</f>
        <v>-214025.867294688</v>
      </c>
      <c r="K54" s="74" t="n">
        <f aca="false">K27+K28+K29+K30</f>
        <v>-210141.164335</v>
      </c>
      <c r="L54" s="74" t="n">
        <f aca="false">L27+L28+L29+L30</f>
        <v>-188194.500728125</v>
      </c>
      <c r="M54" s="74" t="n">
        <f aca="false">M27+M28+M29+M30</f>
        <v>-201592.531257354</v>
      </c>
      <c r="N54" s="74" t="n">
        <f aca="false">N27+N28+N29+N30</f>
        <v>-199776.803017119</v>
      </c>
      <c r="O54" s="74" t="n">
        <f aca="false">O27+O28+O29+O30</f>
        <v>-204778.466055543</v>
      </c>
      <c r="P54" s="74" t="n">
        <f aca="false">P27+P28+P29+P30</f>
        <v>-204857.855006837</v>
      </c>
      <c r="Q54" s="74" t="n">
        <f aca="false">Q27+Q28+Q29+Q30</f>
        <v>-236989.33550481</v>
      </c>
      <c r="R54" s="74" t="n">
        <f aca="false">R27+R28+R29+R30</f>
        <v>-236843.382826541</v>
      </c>
      <c r="S54" s="74" t="n">
        <f aca="false">S27+S28+S29+S30</f>
        <v>-236647.287549718</v>
      </c>
      <c r="T54" s="74" t="n">
        <f aca="false">T27+T28+T29+T30</f>
        <v>-226591.427114596</v>
      </c>
      <c r="U54" s="74" t="n">
        <f aca="false">U27+U28+U29+U30</f>
        <v>-252150.107078323</v>
      </c>
      <c r="V54" s="74" t="n">
        <f aca="false">V27+V28+V29+V30</f>
        <v>-229783.672082811</v>
      </c>
      <c r="W54" s="74" t="n">
        <f aca="false">W27+W28+W29+W30</f>
        <v>-229820.429081476</v>
      </c>
      <c r="X54" s="74" t="n">
        <f aca="false">X27+X28+X29+X30</f>
        <v>-216327.019175437</v>
      </c>
      <c r="Y54" s="74" t="n">
        <f aca="false">Y27+Y28+Y29+Y30</f>
        <v>-229993.280656818</v>
      </c>
      <c r="Z54" s="74" t="n">
        <f aca="false">Z27+Z28+Z29+Z30</f>
        <v>-230098.319652185</v>
      </c>
      <c r="AA54" s="74" t="n">
        <f aca="false">AA27+AA28+AA29+AA30</f>
        <v>-230267.315123474</v>
      </c>
      <c r="AB54" s="74" t="n">
        <f aca="false">AB27+AB28+AB29+AB30</f>
        <v>-230358.219010018</v>
      </c>
    </row>
    <row r="55" customFormat="false" ht="15" hidden="false" customHeight="false" outlineLevel="0" collapsed="false">
      <c r="A55" s="28" t="s">
        <v>416</v>
      </c>
      <c r="B55" s="63"/>
      <c r="C55" s="64" t="n">
        <f aca="false">SUM(E55:P55)</f>
        <v>-1329804.66475014</v>
      </c>
      <c r="D55" s="64" t="n">
        <f aca="false">SUM(Q55:AB55)</f>
        <v>-1441966.83448211</v>
      </c>
      <c r="E55" s="74" t="n">
        <f aca="false">E31+E32+E33+E34+E35+E36+E37+E38+E39</f>
        <v>-109053.914731976</v>
      </c>
      <c r="F55" s="74" t="n">
        <f aca="false">F31+F32+F33+F34+F35+F36+F37+F38+F39</f>
        <v>-109622.99777836</v>
      </c>
      <c r="G55" s="74" t="n">
        <f aca="false">G31+G32+G33+G34+G35+G36+G37+G38+G39</f>
        <v>-128464.654983568</v>
      </c>
      <c r="H55" s="74" t="n">
        <f aca="false">H31+H32+H33+H34+H35+H36+H37+H38+H39</f>
        <v>-115144.581391304</v>
      </c>
      <c r="I55" s="74" t="n">
        <f aca="false">I31+I32+I33+I34+I35+I36+I37+I38+I39</f>
        <v>-108946.8054098</v>
      </c>
      <c r="J55" s="74" t="n">
        <f aca="false">J31+J32+J33+J34+J35+J36+J37+J38+J39</f>
        <v>-116209.279234712</v>
      </c>
      <c r="K55" s="74" t="n">
        <f aca="false">K31+K32+K33+K34+K35+K36+K37+K38+K39</f>
        <v>-108084.508017472</v>
      </c>
      <c r="L55" s="74" t="n">
        <f aca="false">L31+L32+L33+L34+L35+L36+L37+L38+L39</f>
        <v>-103532.329471312</v>
      </c>
      <c r="M55" s="74" t="n">
        <f aca="false">M31+M32+M33+M34+M35+M36+M37+M38+M39</f>
        <v>-106298.286826428</v>
      </c>
      <c r="N55" s="74" t="n">
        <f aca="false">N31+N32+N33+N34+N35+N36+N37+N38+N39</f>
        <v>-106019.929975967</v>
      </c>
      <c r="O55" s="74" t="n">
        <f aca="false">O31+O32+O33+O34+O35+O36+O37+O38+O39</f>
        <v>-112095.030890499</v>
      </c>
      <c r="P55" s="74" t="n">
        <f aca="false">P31+P32+P33+P34+P35+P36+P37+P38+P39</f>
        <v>-106332.346038742</v>
      </c>
      <c r="Q55" s="74" t="n">
        <f aca="false">Q31+Q32+Q33+Q34+Q35+Q36+Q37+Q38+Q39</f>
        <v>-145863.050725609</v>
      </c>
      <c r="R55" s="74" t="n">
        <f aca="false">R31+R32+R33+R34+R35+R36+R37+R38+R39</f>
        <v>-110379.874202785</v>
      </c>
      <c r="S55" s="74" t="n">
        <f aca="false">S31+S32+S33+S34+S35+S36+S37+S38+S39</f>
        <v>-138557.276338417</v>
      </c>
      <c r="T55" s="74" t="n">
        <f aca="false">T31+T32+T33+T34+T35+T36+T37+T38+T39</f>
        <v>-118374.285397918</v>
      </c>
      <c r="U55" s="74" t="n">
        <f aca="false">U31+U32+U33+U34+U35+U36+U37+U38+U39</f>
        <v>-121466.610266457</v>
      </c>
      <c r="V55" s="74" t="n">
        <f aca="false">V31+V32+V33+V34+V35+V36+V37+V38+V39</f>
        <v>-113552.864919757</v>
      </c>
      <c r="W55" s="74" t="n">
        <f aca="false">W31+W32+W33+W34+W35+W36+W37+W38+W39</f>
        <v>-114070.32215873</v>
      </c>
      <c r="X55" s="74" t="n">
        <f aca="false">X31+X32+X33+X34+X35+X36+X37+X38+X39</f>
        <v>-112463.421005304</v>
      </c>
      <c r="Y55" s="74" t="n">
        <f aca="false">Y31+Y32+Y33+Y34+Y35+Y36+Y37+Y38+Y39</f>
        <v>-124475.151128836</v>
      </c>
      <c r="Z55" s="74" t="n">
        <f aca="false">Z31+Z32+Z33+Z34+Z35+Z36+Z37+Z38+Z39</f>
        <v>-114440.821341236</v>
      </c>
      <c r="AA55" s="74" t="n">
        <f aca="false">AA31+AA32+AA33+AA34+AA35+AA36+AA37+AA38+AA39</f>
        <v>-114730.970325427</v>
      </c>
      <c r="AB55" s="74" t="n">
        <f aca="false">AB31+AB32+AB33+AB34+AB35+AB36+AB37+AB38+AB39</f>
        <v>-113592.18667163</v>
      </c>
    </row>
    <row r="56" customFormat="false" ht="15" hidden="false" customHeight="false" outlineLevel="0" collapsed="false">
      <c r="A56" s="28" t="s">
        <v>417</v>
      </c>
      <c r="B56" s="63"/>
      <c r="C56" s="66" t="n">
        <f aca="false">IF(C14=0,0,-C53/C14)</f>
        <v>0.295236473389061</v>
      </c>
      <c r="D56" s="66" t="n">
        <f aca="false">IF(D14=0,0,-D53/D14)</f>
        <v>0.281752603070072</v>
      </c>
      <c r="E56" s="75" t="n">
        <f aca="false">IF(E14=0,0,-E53/E14)</f>
        <v>0.307795905354742</v>
      </c>
      <c r="F56" s="75" t="n">
        <f aca="false">IF(F14=0,0,-F53/F14)</f>
        <v>0.315370400605227</v>
      </c>
      <c r="G56" s="75" t="n">
        <f aca="false">IF(G14=0,0,-G53/G14)</f>
        <v>0.316780728219481</v>
      </c>
      <c r="H56" s="75" t="n">
        <f aca="false">IF(H14=0,0,-H53/H14)</f>
        <v>0.304372031434589</v>
      </c>
      <c r="I56" s="75" t="n">
        <f aca="false">IF(I14=0,0,-I53/I14)</f>
        <v>0.307486120218913</v>
      </c>
      <c r="J56" s="75" t="n">
        <f aca="false">IF(J14=0,0,-J53/J14)</f>
        <v>0.30279655496037</v>
      </c>
      <c r="K56" s="75" t="n">
        <f aca="false">IF(K14=0,0,-K53/K14)</f>
        <v>0.292417622012265</v>
      </c>
      <c r="L56" s="75" t="n">
        <f aca="false">IF(L14=0,0,-L53/L14)</f>
        <v>0.290777613633437</v>
      </c>
      <c r="M56" s="75" t="n">
        <f aca="false">IF(M14=0,0,-M53/M14)</f>
        <v>0.289105286902379</v>
      </c>
      <c r="N56" s="75" t="n">
        <f aca="false">IF(N14=0,0,-N53/N14)</f>
        <v>0.281238439079811</v>
      </c>
      <c r="O56" s="75" t="n">
        <f aca="false">IF(O14=0,0,-O53/O14)</f>
        <v>0.275495511902461</v>
      </c>
      <c r="P56" s="75" t="n">
        <f aca="false">IF(P14=0,0,-P53/P14)</f>
        <v>0.270128490746223</v>
      </c>
      <c r="Q56" s="75" t="n">
        <f aca="false">IF(Q14=0,0,-Q53/Q14)</f>
        <v>0.302065464176942</v>
      </c>
      <c r="R56" s="75" t="n">
        <f aca="false">IF(R14=0,0,-R53/R14)</f>
        <v>0.296003709427464</v>
      </c>
      <c r="S56" s="75" t="n">
        <f aca="false">IF(S14=0,0,-S53/S14)</f>
        <v>0.290409075127729</v>
      </c>
      <c r="T56" s="75" t="n">
        <f aca="false">IF(T14=0,0,-T53/T14)</f>
        <v>0.291666895859349</v>
      </c>
      <c r="U56" s="75" t="n">
        <f aca="false">IF(U14=0,0,-U53/U14)</f>
        <v>0.287987441810726</v>
      </c>
      <c r="V56" s="75" t="n">
        <f aca="false">IF(V14=0,0,-V53/V14)</f>
        <v>0.282945289033341</v>
      </c>
      <c r="W56" s="75" t="n">
        <f aca="false">IF(W14=0,0,-W53/W14)</f>
        <v>0.27911386441788</v>
      </c>
      <c r="X56" s="75" t="n">
        <f aca="false">IF(X14=0,0,-X53/X14)</f>
        <v>0.275802087807664</v>
      </c>
      <c r="Y56" s="75" t="n">
        <f aca="false">IF(Y14=0,0,-Y53/Y14)</f>
        <v>0.277556500261727</v>
      </c>
      <c r="Z56" s="75" t="n">
        <f aca="false">IF(Z14=0,0,-Z53/Z14)</f>
        <v>0.272286291891209</v>
      </c>
      <c r="AA56" s="75" t="n">
        <f aca="false">IF(AA14=0,0,-AA53/AA14)</f>
        <v>0.267897011782513</v>
      </c>
      <c r="AB56" s="75" t="n">
        <f aca="false">IF(AB14=0,0,-AB53/AB14)</f>
        <v>0.264357263462258</v>
      </c>
    </row>
    <row r="57" customFormat="false" ht="15" hidden="false" customHeight="false" outlineLevel="0" collapsed="false">
      <c r="A57" s="28" t="s">
        <v>418</v>
      </c>
      <c r="B57" s="63"/>
      <c r="C57" s="66" t="n">
        <f aca="false">IF(C14=0,0,-C54/C14)</f>
        <v>0.385741827311596</v>
      </c>
      <c r="D57" s="66" t="n">
        <f aca="false">IF(D14=0,0,-D54/D14)</f>
        <v>0.346994542285641</v>
      </c>
      <c r="E57" s="75" t="n">
        <f aca="false">IF(E14=0,0,-E54/E14)</f>
        <v>0.414133179339409</v>
      </c>
      <c r="F57" s="75" t="n">
        <f aca="false">IF(F14=0,0,-F54/F14)</f>
        <v>0.432888918605591</v>
      </c>
      <c r="G57" s="75" t="n">
        <f aca="false">IF(G14=0,0,-G54/G14)</f>
        <v>0.422746805273493</v>
      </c>
      <c r="H57" s="75" t="n">
        <f aca="false">IF(H14=0,0,-H54/H14)</f>
        <v>0.40046573758725</v>
      </c>
      <c r="I57" s="75" t="n">
        <f aca="false">IF(I14=0,0,-I54/I14)</f>
        <v>0.436463101925518</v>
      </c>
      <c r="J57" s="75" t="n">
        <f aca="false">IF(J14=0,0,-J54/J14)</f>
        <v>0.404241347871946</v>
      </c>
      <c r="K57" s="75" t="n">
        <f aca="false">IF(K14=0,0,-K54/K14)</f>
        <v>0.385697627256309</v>
      </c>
      <c r="L57" s="75" t="n">
        <f aca="false">IF(L14=0,0,-L54/L14)</f>
        <v>0.342619284444127</v>
      </c>
      <c r="M57" s="75" t="n">
        <f aca="false">IF(M14=0,0,-M54/M14)</f>
        <v>0.361333773053797</v>
      </c>
      <c r="N57" s="75" t="n">
        <f aca="false">IF(N14=0,0,-N54/N14)</f>
        <v>0.351706181485486</v>
      </c>
      <c r="O57" s="75" t="n">
        <f aca="false">IF(O14=0,0,-O54/O14)</f>
        <v>0.353157275374758</v>
      </c>
      <c r="P57" s="75" t="n">
        <f aca="false">IF(P14=0,0,-P54/P14)</f>
        <v>0.346379147999635</v>
      </c>
      <c r="Q57" s="75" t="n">
        <f aca="false">IF(Q14=0,0,-Q54/Q14)</f>
        <v>0.387544267894858</v>
      </c>
      <c r="R57" s="75" t="n">
        <f aca="false">IF(R14=0,0,-R54/R14)</f>
        <v>0.379906057567944</v>
      </c>
      <c r="S57" s="75" t="n">
        <f aca="false">IF(S14=0,0,-S54/S14)</f>
        <v>0.372779406800008</v>
      </c>
      <c r="T57" s="75" t="n">
        <f aca="false">IF(T14=0,0,-T54/T14)</f>
        <v>0.35196371563692</v>
      </c>
      <c r="U57" s="75" t="n">
        <f aca="false">IF(U14=0,0,-U54/U14)</f>
        <v>0.386789842075617</v>
      </c>
      <c r="V57" s="75" t="n">
        <f aca="false">IF(V14=0,0,-V54/V14)</f>
        <v>0.346371581281728</v>
      </c>
      <c r="W57" s="75" t="n">
        <f aca="false">IF(W14=0,0,-W54/W14)</f>
        <v>0.341734735600912</v>
      </c>
      <c r="X57" s="75" t="n">
        <f aca="false">IF(X14=0,0,-X54/X14)</f>
        <v>0.31785323228893</v>
      </c>
      <c r="Y57" s="75" t="n">
        <f aca="false">IF(Y14=0,0,-Y54/Y14)</f>
        <v>0.331589053391732</v>
      </c>
      <c r="Z57" s="75" t="n">
        <f aca="false">IF(Z14=0,0,-Z54/Z14)</f>
        <v>0.32552275246032</v>
      </c>
      <c r="AA57" s="75" t="n">
        <f aca="false">IF(AA14=0,0,-AA54/AA14)</f>
        <v>0.320589811034316</v>
      </c>
      <c r="AB57" s="75" t="n">
        <f aca="false">IF(AB14=0,0,-AB54/AB14)</f>
        <v>0.316477142752718</v>
      </c>
    </row>
    <row r="58" customFormat="false" ht="15" hidden="false" customHeight="false" outlineLevel="0" collapsed="false">
      <c r="A58" s="28" t="s">
        <v>419</v>
      </c>
      <c r="B58" s="63"/>
      <c r="C58" s="66" t="n">
        <f aca="false">IF(C14=0,0,-C55/C14)</f>
        <v>0.206942148081955</v>
      </c>
      <c r="D58" s="66" t="n">
        <f aca="false">IF(D14=0,0,-D55/D14)</f>
        <v>0.179604453390478</v>
      </c>
      <c r="E58" s="75" t="n">
        <f aca="false">IF(E14=0,0,-E55/E14)</f>
        <v>0.224556604103359</v>
      </c>
      <c r="F58" s="75" t="n">
        <f aca="false">IF(F14=0,0,-F55/F14)</f>
        <v>0.226079396021054</v>
      </c>
      <c r="G58" s="75" t="n">
        <f aca="false">IF(G14=0,0,-G55/G14)</f>
        <v>0.259393475352815</v>
      </c>
      <c r="H58" s="75" t="n">
        <f aca="false">IF(H14=0,0,-H55/H14)</f>
        <v>0.222180910412488</v>
      </c>
      <c r="I58" s="75" t="n">
        <f aca="false">IF(I14=0,0,-I55/I14)</f>
        <v>0.209042755866034</v>
      </c>
      <c r="J58" s="75" t="n">
        <f aca="false">IF(J14=0,0,-J55/J14)</f>
        <v>0.21949027127822</v>
      </c>
      <c r="K58" s="75" t="n">
        <f aca="false">IF(K14=0,0,-K55/K14)</f>
        <v>0.198380638164957</v>
      </c>
      <c r="L58" s="75" t="n">
        <f aca="false">IF(L14=0,0,-L55/L14)</f>
        <v>0.188486765038578</v>
      </c>
      <c r="M58" s="75" t="n">
        <f aca="false">IF(M14=0,0,-M55/M14)</f>
        <v>0.190528690763423</v>
      </c>
      <c r="N58" s="75" t="n">
        <f aca="false">IF(N14=0,0,-N55/N14)</f>
        <v>0.186647619593806</v>
      </c>
      <c r="O58" s="75" t="n">
        <f aca="false">IF(O14=0,0,-O55/O14)</f>
        <v>0.193317082869448</v>
      </c>
      <c r="P58" s="75" t="n">
        <f aca="false">IF(P14=0,0,-P55/P14)</f>
        <v>0.17978957860548</v>
      </c>
      <c r="Q58" s="75" t="n">
        <f aca="false">IF(Q14=0,0,-Q55/Q14)</f>
        <v>0.238527143366835</v>
      </c>
      <c r="R58" s="75" t="n">
        <f aca="false">IF(R14=0,0,-R55/R14)</f>
        <v>0.177053639171912</v>
      </c>
      <c r="S58" s="75" t="n">
        <f aca="false">IF(S14=0,0,-S55/S14)</f>
        <v>0.218262798682652</v>
      </c>
      <c r="T58" s="75" t="n">
        <f aca="false">IF(T14=0,0,-T55/T14)</f>
        <v>0.183870386691398</v>
      </c>
      <c r="U58" s="75" t="n">
        <f aca="false">IF(U14=0,0,-U55/U14)</f>
        <v>0.186325722986227</v>
      </c>
      <c r="V58" s="75" t="n">
        <f aca="false">IF(V14=0,0,-V55/V14)</f>
        <v>0.171167450780193</v>
      </c>
      <c r="W58" s="75" t="n">
        <f aca="false">IF(W14=0,0,-W55/W14)</f>
        <v>0.169618477950908</v>
      </c>
      <c r="X58" s="75" t="n">
        <f aca="false">IF(X14=0,0,-X55/X14)</f>
        <v>0.165244554365243</v>
      </c>
      <c r="Y58" s="75" t="n">
        <f aca="false">IF(Y14=0,0,-Y55/Y14)</f>
        <v>0.179460014726218</v>
      </c>
      <c r="Z58" s="75" t="n">
        <f aca="false">IF(Z14=0,0,-Z55/Z14)</f>
        <v>0.161900752744003</v>
      </c>
      <c r="AA58" s="75" t="n">
        <f aca="false">IF(AA14=0,0,-AA55/AA14)</f>
        <v>0.159734263964859</v>
      </c>
      <c r="AB58" s="75" t="n">
        <f aca="false">IF(AB14=0,0,-AB55/AB14)</f>
        <v>0.156058380861625</v>
      </c>
    </row>
    <row r="59" customFormat="false" ht="15" hidden="false" customHeight="false" outlineLevel="0" collapsed="false">
      <c r="A59" s="28" t="s">
        <v>420</v>
      </c>
      <c r="B59" s="63"/>
      <c r="C59" s="66" t="n">
        <f aca="false">IF(C14=0,0,-C25/C14)</f>
        <v>0.39863752681372</v>
      </c>
      <c r="D59" s="66" t="n">
        <f aca="false">IF(D14=0,0,-D25/D14)</f>
        <v>0.380482884873518</v>
      </c>
      <c r="E59" s="75" t="n">
        <f aca="false">IF(E14=0,0,-E25/E14)</f>
        <v>0.413227345780349</v>
      </c>
      <c r="F59" s="75" t="n">
        <f aca="false">IF(F14=0,0,-F25/F14)</f>
        <v>0.424388093037452</v>
      </c>
      <c r="G59" s="75" t="n">
        <f aca="false">IF(G14=0,0,-G25/G14)</f>
        <v>0.427234245708643</v>
      </c>
      <c r="H59" s="75" t="n">
        <f aca="false">IF(H14=0,0,-H25/H14)</f>
        <v>0.410713803318788</v>
      </c>
      <c r="I59" s="75" t="n">
        <f aca="false">IF(I14=0,0,-I25/I14)</f>
        <v>0.415462834072639</v>
      </c>
      <c r="J59" s="75" t="n">
        <f aca="false">IF(J14=0,0,-J25/J14)</f>
        <v>0.409198811658966</v>
      </c>
      <c r="K59" s="75" t="n">
        <f aca="false">IF(K14=0,0,-K25/K14)</f>
        <v>0.394957945199537</v>
      </c>
      <c r="L59" s="75" t="n">
        <f aca="false">IF(L14=0,0,-L25/L14)</f>
        <v>0.392819244877073</v>
      </c>
      <c r="M59" s="75" t="n">
        <f aca="false">IF(M14=0,0,-M25/M14)</f>
        <v>0.391164675433966</v>
      </c>
      <c r="N59" s="75" t="n">
        <f aca="false">IF(N14=0,0,-N25/N14)</f>
        <v>0.380478947633352</v>
      </c>
      <c r="O59" s="75" t="n">
        <f aca="false">IF(O14=0,0,-O25/O14)</f>
        <v>0.372704276366226</v>
      </c>
      <c r="P59" s="75" t="n">
        <f aca="false">IF(P14=0,0,-P25/P14)</f>
        <v>0.365444283382658</v>
      </c>
      <c r="Q59" s="75" t="n">
        <f aca="false">IF(Q14=0,0,-Q25/Q14)</f>
        <v>0.407093508940274</v>
      </c>
      <c r="R59" s="75" t="n">
        <f aca="false">IF(R14=0,0,-R25/R14)</f>
        <v>0.39893141691453</v>
      </c>
      <c r="S59" s="75" t="n">
        <f aca="false">IF(S14=0,0,-S25/S14)</f>
        <v>0.39139859126139</v>
      </c>
      <c r="T59" s="75" t="n">
        <f aca="false">IF(T14=0,0,-T25/T14)</f>
        <v>0.393744869033124</v>
      </c>
      <c r="U59" s="75" t="n">
        <f aca="false">IF(U14=0,0,-U25/U14)</f>
        <v>0.388771335600819</v>
      </c>
      <c r="V59" s="75" t="n">
        <f aca="false">IF(V14=0,0,-V25/V14)</f>
        <v>0.38195849119024</v>
      </c>
      <c r="W59" s="75" t="n">
        <f aca="false">IF(W14=0,0,-W25/W14)</f>
        <v>0.376786428637326</v>
      </c>
      <c r="X59" s="75" t="n">
        <f aca="false">IF(X14=0,0,-X25/X14)</f>
        <v>0.372315794047322</v>
      </c>
      <c r="Y59" s="75" t="n">
        <f aca="false">IF(Y14=0,0,-Y25/Y14)</f>
        <v>0.375520517524731</v>
      </c>
      <c r="Z59" s="75" t="n">
        <f aca="false">IF(Z14=0,0,-Z25/Z14)</f>
        <v>0.368382177992575</v>
      </c>
      <c r="AA59" s="75" t="n">
        <f aca="false">IF(AA14=0,0,-AA25/AA14)</f>
        <v>0.362436025188095</v>
      </c>
      <c r="AB59" s="75" t="n">
        <f aca="false">IF(AB14=0,0,-AB25/AB14)</f>
        <v>0.357647278747457</v>
      </c>
    </row>
    <row r="60" customFormat="false" ht="15" hidden="false" customHeight="false" outlineLevel="0" collapsed="false">
      <c r="A60" s="25" t="s">
        <v>421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422</v>
      </c>
    </row>
    <row r="3" customFormat="false" ht="15" hidden="false" customHeight="false" outlineLevel="0" collapsed="false">
      <c r="A3" s="50" t="s">
        <v>423</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424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362</v>
      </c>
      <c r="B9" s="63" t="s">
        <v>36</v>
      </c>
      <c r="C9" s="64" t="n">
        <f aca="false">P9</f>
        <v>3695090.48338292</v>
      </c>
      <c r="D9" s="64" t="n">
        <f aca="false">AB9</f>
        <v>2041290.76337461</v>
      </c>
      <c r="E9" s="65" t="n">
        <f aca="false">CF!E38</f>
        <v>4852248.1816</v>
      </c>
      <c r="F9" s="65" t="n">
        <f aca="false">CF!F38</f>
        <v>4995217.72625</v>
      </c>
      <c r="G9" s="65" t="n">
        <f aca="false">CF!G38</f>
        <v>5127022.9542</v>
      </c>
      <c r="H9" s="65" t="n">
        <f aca="false">CF!H38</f>
        <v>4707127.2234</v>
      </c>
      <c r="I9" s="65" t="n">
        <f aca="false">CF!I38</f>
        <v>4886441.5383</v>
      </c>
      <c r="J9" s="65" t="n">
        <f aca="false">CF!J38</f>
        <v>4735039.50395</v>
      </c>
      <c r="K9" s="65" t="n">
        <f aca="false">CF!K38</f>
        <v>4308764.706</v>
      </c>
      <c r="L9" s="65" t="n">
        <f aca="false">CF!L38</f>
        <v>4314216.6401</v>
      </c>
      <c r="M9" s="65" t="n">
        <f aca="false">CF!M38</f>
        <v>4227071.66234184</v>
      </c>
      <c r="N9" s="65" t="n">
        <f aca="false">CF!N38</f>
        <v>3890943.09508614</v>
      </c>
      <c r="O9" s="65" t="n">
        <f aca="false">CF!O38</f>
        <v>3926768.85566784</v>
      </c>
      <c r="P9" s="65" t="n">
        <f aca="false">CF!P38</f>
        <v>3695090.48338292</v>
      </c>
      <c r="Q9" s="65" t="n">
        <f aca="false">CF!Q38</f>
        <v>3305287.37684197</v>
      </c>
      <c r="R9" s="65" t="n">
        <f aca="false">CF!R38</f>
        <v>3251254.78257675</v>
      </c>
      <c r="S9" s="65" t="n">
        <f aca="false">CF!S38</f>
        <v>3290582.26839432</v>
      </c>
      <c r="T9" s="65" t="n">
        <f aca="false">CF!T38</f>
        <v>3120538.59672397</v>
      </c>
      <c r="U9" s="65" t="n">
        <f aca="false">CF!U38</f>
        <v>3188304.56351528</v>
      </c>
      <c r="V9" s="65" t="n">
        <f aca="false">CF!V38</f>
        <v>2873084.18723816</v>
      </c>
      <c r="W9" s="65" t="n">
        <f aca="false">CF!W38</f>
        <v>2680289.76338965</v>
      </c>
      <c r="X9" s="65" t="n">
        <f aca="false">CF!X38</f>
        <v>2687783.22894887</v>
      </c>
      <c r="Y9" s="65" t="n">
        <f aca="false">CF!Y38</f>
        <v>2538330.74839547</v>
      </c>
      <c r="Z9" s="65" t="n">
        <f aca="false">CF!Z38</f>
        <v>2387195.22314706</v>
      </c>
      <c r="AA9" s="65" t="n">
        <f aca="false">CF!AA38</f>
        <v>2370346.56512129</v>
      </c>
      <c r="AB9" s="65" t="n">
        <f aca="false">CF!AB38</f>
        <v>2041290.76337461</v>
      </c>
    </row>
    <row r="10" customFormat="false" ht="15" hidden="false" customHeight="false" outlineLevel="0" collapsed="false">
      <c r="A10" s="28" t="s">
        <v>425</v>
      </c>
      <c r="B10" s="63" t="s">
        <v>64</v>
      </c>
      <c r="C10" s="64" t="n">
        <f aca="false">P10</f>
        <v>500370.372447929</v>
      </c>
      <c r="D10" s="64" t="n">
        <f aca="false">AB10</f>
        <v>644664.162278976</v>
      </c>
      <c r="E10" s="65" t="n">
        <f aca="false">Receivables!E32</f>
        <v>838125.266765024</v>
      </c>
      <c r="F10" s="65" t="n">
        <f aca="false">Receivables!F32</f>
        <v>521576.551281664</v>
      </c>
      <c r="G10" s="65" t="n">
        <f aca="false">Receivables!G32</f>
        <v>613333.449244096</v>
      </c>
      <c r="H10" s="65" t="n">
        <f aca="false">Receivables!H32</f>
        <v>782393.981765792</v>
      </c>
      <c r="I10" s="65" t="n">
        <f aca="false">Receivables!I32</f>
        <v>618016.532580992</v>
      </c>
      <c r="J10" s="65" t="n">
        <f aca="false">Receivables!J32</f>
        <v>551337.91768528</v>
      </c>
      <c r="K10" s="65" t="n">
        <f aca="false">Receivables!K32</f>
        <v>616448.831851808</v>
      </c>
      <c r="L10" s="65" t="n">
        <f aca="false">Receivables!L32</f>
        <v>392425.406294496</v>
      </c>
      <c r="M10" s="65" t="n">
        <f aca="false">Receivables!M32</f>
        <v>584569.545273754</v>
      </c>
      <c r="N10" s="65" t="n">
        <f aca="false">Receivables!N32</f>
        <v>544335.343166696</v>
      </c>
      <c r="O10" s="65" t="n">
        <f aca="false">Receivables!O32</f>
        <v>644679.694333435</v>
      </c>
      <c r="P10" s="65" t="n">
        <f aca="false">Receivables!P32</f>
        <v>500370.372447929</v>
      </c>
      <c r="Q10" s="65" t="n">
        <f aca="false">Receivables!Q32</f>
        <v>981969.249566926</v>
      </c>
      <c r="R10" s="65" t="n">
        <f aca="false">Receivables!R32</f>
        <v>656219.322669786</v>
      </c>
      <c r="S10" s="65" t="n">
        <f aca="false">Receivables!S32</f>
        <v>758986.379203936</v>
      </c>
      <c r="T10" s="65" t="n">
        <f aca="false">Receivables!T32</f>
        <v>913703.885023371</v>
      </c>
      <c r="U10" s="65" t="n">
        <f aca="false">Receivables!U32</f>
        <v>699202.645355726</v>
      </c>
      <c r="V10" s="65" t="n">
        <f aca="false">Receivables!V32</f>
        <v>674178.239703296</v>
      </c>
      <c r="W10" s="65" t="n">
        <f aca="false">Receivables!W32</f>
        <v>745136.078847638</v>
      </c>
      <c r="X10" s="65" t="n">
        <f aca="false">Receivables!X32</f>
        <v>467002.050594327</v>
      </c>
      <c r="Y10" s="65" t="n">
        <f aca="false">Receivables!Y32</f>
        <v>696539.550137594</v>
      </c>
      <c r="Z10" s="65" t="n">
        <f aca="false">Receivables!Z32</f>
        <v>721677.306437995</v>
      </c>
      <c r="AA10" s="65" t="n">
        <f aca="false">Receivables!AA32</f>
        <v>805448.448796155</v>
      </c>
      <c r="AB10" s="65" t="n">
        <f aca="false">Receivables!AB32</f>
        <v>644664.162278976</v>
      </c>
    </row>
    <row r="11" customFormat="false" ht="15" hidden="false" customHeight="false" outlineLevel="0" collapsed="false">
      <c r="A11" s="28" t="s">
        <v>426</v>
      </c>
      <c r="B11" s="63" t="s">
        <v>64</v>
      </c>
      <c r="C11" s="64" t="n">
        <f aca="false">P11</f>
        <v>-0.0112159999844152</v>
      </c>
      <c r="D11" s="64" t="n">
        <f aca="false">AB11</f>
        <v>-0.0112159999553114</v>
      </c>
      <c r="E11" s="65" t="n">
        <f aca="false">Receivables!E12</f>
        <v>-0.00454399999580346</v>
      </c>
      <c r="F11" s="65" t="n">
        <f aca="false">Receivables!F12</f>
        <v>-0.00100800002110191</v>
      </c>
      <c r="G11" s="65" t="n">
        <f aca="false">Receivables!G12</f>
        <v>-0.00308799996855669</v>
      </c>
      <c r="H11" s="65" t="n">
        <f aca="false">Receivables!H12</f>
        <v>-0.00430399994365871</v>
      </c>
      <c r="I11" s="65" t="n">
        <f aca="false">Receivables!I12</f>
        <v>-0.00689599991892465</v>
      </c>
      <c r="J11" s="65" t="n">
        <f aca="false">Receivables!J12</f>
        <v>-0.00284799991641194</v>
      </c>
      <c r="K11" s="65" t="n">
        <f aca="false">Receivables!K12</f>
        <v>-0.00729599993792363</v>
      </c>
      <c r="L11" s="65" t="n">
        <f aca="false">Receivables!L12</f>
        <v>-0.0112159999844152</v>
      </c>
      <c r="M11" s="65" t="n">
        <f aca="false">Receivables!M12</f>
        <v>-0.0112159999844152</v>
      </c>
      <c r="N11" s="65" t="n">
        <f aca="false">Receivables!N12</f>
        <v>-0.0112159999844152</v>
      </c>
      <c r="O11" s="65" t="n">
        <f aca="false">Receivables!O12</f>
        <v>-0.0112159999844152</v>
      </c>
      <c r="P11" s="65" t="n">
        <f aca="false">Receivables!P12</f>
        <v>-0.0112159999844152</v>
      </c>
      <c r="Q11" s="65" t="n">
        <f aca="false">Receivables!Q12</f>
        <v>-0.0112159999844152</v>
      </c>
      <c r="R11" s="65" t="n">
        <f aca="false">Receivables!R12</f>
        <v>-0.0112159999844152</v>
      </c>
      <c r="S11" s="65" t="n">
        <f aca="false">Receivables!S12</f>
        <v>-0.0112159999844152</v>
      </c>
      <c r="T11" s="65" t="n">
        <f aca="false">Receivables!T12</f>
        <v>-0.0112159999553114</v>
      </c>
      <c r="U11" s="65" t="n">
        <f aca="false">Receivables!U12</f>
        <v>-0.0112159999553114</v>
      </c>
      <c r="V11" s="65" t="n">
        <f aca="false">Receivables!V12</f>
        <v>-0.0112159999553114</v>
      </c>
      <c r="W11" s="65" t="n">
        <f aca="false">Receivables!W12</f>
        <v>-0.0112159999553114</v>
      </c>
      <c r="X11" s="65" t="n">
        <f aca="false">Receivables!X12</f>
        <v>-0.0112159999553114</v>
      </c>
      <c r="Y11" s="65" t="n">
        <f aca="false">Receivables!Y12</f>
        <v>-0.0112159999553114</v>
      </c>
      <c r="Z11" s="65" t="n">
        <f aca="false">Receivables!Z12</f>
        <v>-0.0112159999553114</v>
      </c>
      <c r="AA11" s="65" t="n">
        <f aca="false">Receivables!AA12</f>
        <v>-0.0112159999553114</v>
      </c>
      <c r="AB11" s="65" t="n">
        <f aca="false">Receivables!AB12</f>
        <v>-0.0112159999553114</v>
      </c>
    </row>
    <row r="12" customFormat="false" ht="15" hidden="false" customHeight="false" outlineLevel="0" collapsed="false">
      <c r="A12" s="28" t="s">
        <v>427</v>
      </c>
      <c r="B12" s="63" t="s">
        <v>428</v>
      </c>
      <c r="C12" s="64" t="n">
        <f aca="false">P12</f>
        <v>42000</v>
      </c>
      <c r="D12" s="64" t="n">
        <f aca="false">AB12</f>
        <v>42000</v>
      </c>
      <c r="E12" s="65" t="n">
        <f aca="false">Inputs_Actuals!$C$327</f>
        <v>42000</v>
      </c>
      <c r="F12" s="74" t="n">
        <f aca="false">E12</f>
        <v>42000</v>
      </c>
      <c r="G12" s="74" t="n">
        <f aca="false">F12</f>
        <v>42000</v>
      </c>
      <c r="H12" s="74" t="n">
        <f aca="false">G12</f>
        <v>42000</v>
      </c>
      <c r="I12" s="74" t="n">
        <f aca="false">H12</f>
        <v>42000</v>
      </c>
      <c r="J12" s="74" t="n">
        <f aca="false">I12</f>
        <v>42000</v>
      </c>
      <c r="K12" s="74" t="n">
        <f aca="false">J12</f>
        <v>42000</v>
      </c>
      <c r="L12" s="74" t="n">
        <f aca="false">K12</f>
        <v>42000</v>
      </c>
      <c r="M12" s="74" t="n">
        <f aca="false">L12</f>
        <v>42000</v>
      </c>
      <c r="N12" s="74" t="n">
        <f aca="false">M12</f>
        <v>42000</v>
      </c>
      <c r="O12" s="74" t="n">
        <f aca="false">N12</f>
        <v>42000</v>
      </c>
      <c r="P12" s="74" t="n">
        <f aca="false">O12</f>
        <v>42000</v>
      </c>
      <c r="Q12" s="74" t="n">
        <f aca="false">P12</f>
        <v>42000</v>
      </c>
      <c r="R12" s="74" t="n">
        <f aca="false">Q12</f>
        <v>42000</v>
      </c>
      <c r="S12" s="74" t="n">
        <f aca="false">R12</f>
        <v>42000</v>
      </c>
      <c r="T12" s="74" t="n">
        <f aca="false">S12</f>
        <v>42000</v>
      </c>
      <c r="U12" s="74" t="n">
        <f aca="false">T12</f>
        <v>42000</v>
      </c>
      <c r="V12" s="74" t="n">
        <f aca="false">U12</f>
        <v>42000</v>
      </c>
      <c r="W12" s="74" t="n">
        <f aca="false">V12</f>
        <v>42000</v>
      </c>
      <c r="X12" s="74" t="n">
        <f aca="false">W12</f>
        <v>42000</v>
      </c>
      <c r="Y12" s="74" t="n">
        <f aca="false">X12</f>
        <v>42000</v>
      </c>
      <c r="Z12" s="74" t="n">
        <f aca="false">Y12</f>
        <v>42000</v>
      </c>
      <c r="AA12" s="74" t="n">
        <f aca="false">Z12</f>
        <v>42000</v>
      </c>
      <c r="AB12" s="74" t="n">
        <f aca="false">AA12</f>
        <v>42000</v>
      </c>
    </row>
    <row r="13" customFormat="false" ht="15" hidden="false" customHeight="false" outlineLevel="0" collapsed="false">
      <c r="A13" s="28" t="s">
        <v>429</v>
      </c>
      <c r="B13" s="63" t="s">
        <v>62</v>
      </c>
      <c r="C13" s="64" t="n">
        <f aca="false">P13</f>
        <v>278454.215950401</v>
      </c>
      <c r="D13" s="64" t="n">
        <f aca="false">AB13</f>
        <v>306110.628801119</v>
      </c>
      <c r="E13" s="65" t="n">
        <f aca="false">Capitalised_Costs!E19</f>
        <v>257573.608755</v>
      </c>
      <c r="F13" s="65" t="n">
        <f aca="false">Capitalised_Costs!F19</f>
        <v>254969.444595938</v>
      </c>
      <c r="G13" s="65" t="n">
        <f aca="false">Capitalised_Costs!G19</f>
        <v>258373.006539688</v>
      </c>
      <c r="H13" s="65" t="n">
        <f aca="false">Capitalised_Costs!H19</f>
        <v>275078.626880938</v>
      </c>
      <c r="I13" s="65" t="n">
        <f aca="false">Capitalised_Costs!I19</f>
        <v>271482.224509063</v>
      </c>
      <c r="J13" s="65" t="n">
        <f aca="false">Capitalised_Costs!J19</f>
        <v>269564.065149375</v>
      </c>
      <c r="K13" s="65" t="n">
        <f aca="false">Capitalised_Costs!K19</f>
        <v>276418.387684375</v>
      </c>
      <c r="L13" s="65" t="n">
        <f aca="false">Capitalised_Costs!L19</f>
        <v>274476.83911125</v>
      </c>
      <c r="M13" s="65" t="n">
        <f aca="false">Capitalised_Costs!M19</f>
        <v>272735.886207927</v>
      </c>
      <c r="N13" s="65" t="n">
        <f aca="false">Capitalised_Costs!N19</f>
        <v>270748.821438899</v>
      </c>
      <c r="O13" s="65" t="n">
        <f aca="false">Capitalised_Costs!O19</f>
        <v>275371.581898977</v>
      </c>
      <c r="P13" s="65" t="n">
        <f aca="false">Capitalised_Costs!P19</f>
        <v>278454.215950401</v>
      </c>
      <c r="Q13" s="65" t="n">
        <f aca="false">Capitalised_Costs!Q19</f>
        <v>283332.123623455</v>
      </c>
      <c r="R13" s="65" t="n">
        <f aca="false">Capitalised_Costs!R19</f>
        <v>285240.570226938</v>
      </c>
      <c r="S13" s="65" t="n">
        <f aca="false">Capitalised_Costs!S19</f>
        <v>288526.138567876</v>
      </c>
      <c r="T13" s="65" t="n">
        <f aca="false">Capitalised_Costs!T19</f>
        <v>291020.056128756</v>
      </c>
      <c r="U13" s="65" t="n">
        <f aca="false">Capitalised_Costs!U19</f>
        <v>288405.775513056</v>
      </c>
      <c r="V13" s="65" t="n">
        <f aca="false">Capitalised_Costs!V19</f>
        <v>291251.195914165</v>
      </c>
      <c r="W13" s="65" t="n">
        <f aca="false">Capitalised_Costs!W19</f>
        <v>293500.22258719</v>
      </c>
      <c r="X13" s="65" t="n">
        <f aca="false">Capitalised_Costs!X19</f>
        <v>293939.680950087</v>
      </c>
      <c r="Y13" s="65" t="n">
        <f aca="false">Capitalised_Costs!Y19</f>
        <v>297838.350216419</v>
      </c>
      <c r="Z13" s="65" t="n">
        <f aca="false">Capitalised_Costs!Z19</f>
        <v>301390.811811287</v>
      </c>
      <c r="AA13" s="65" t="n">
        <f aca="false">Capitalised_Costs!AA19</f>
        <v>304671.569576074</v>
      </c>
      <c r="AB13" s="65" t="n">
        <f aca="false">Capitalised_Costs!AB19</f>
        <v>306110.628801119</v>
      </c>
    </row>
    <row r="14" customFormat="false" ht="15" hidden="false" customHeight="false" outlineLevel="0" collapsed="false">
      <c r="A14" s="28" t="s">
        <v>430</v>
      </c>
      <c r="B14" s="63" t="s">
        <v>62</v>
      </c>
      <c r="C14" s="64" t="n">
        <f aca="false">P14</f>
        <v>926569.391936308</v>
      </c>
      <c r="D14" s="64" t="n">
        <f aca="false">AB14</f>
        <v>1114375.07860701</v>
      </c>
      <c r="E14" s="65" t="n">
        <f aca="false">Capitalised_Costs!E13</f>
        <v>769677.25</v>
      </c>
      <c r="F14" s="65" t="n">
        <f aca="false">Capitalised_Costs!F13</f>
        <v>784829.406666667</v>
      </c>
      <c r="G14" s="65" t="n">
        <f aca="false">Capitalised_Costs!G13</f>
        <v>801124.084444445</v>
      </c>
      <c r="H14" s="65" t="n">
        <f aca="false">Capitalised_Costs!H13</f>
        <v>817104.998888889</v>
      </c>
      <c r="I14" s="65" t="n">
        <f aca="false">Capitalised_Costs!I13</f>
        <v>833505.213888889</v>
      </c>
      <c r="J14" s="65" t="n">
        <f aca="false">Capitalised_Costs!J13</f>
        <v>849197.056111111</v>
      </c>
      <c r="K14" s="65" t="n">
        <f aca="false">Capitalised_Costs!K13</f>
        <v>863600.864166667</v>
      </c>
      <c r="L14" s="65" t="n">
        <f aca="false">Capitalised_Costs!L13</f>
        <v>877366.058611111</v>
      </c>
      <c r="M14" s="65" t="n">
        <f aca="false">Capitalised_Costs!M13</f>
        <v>891263.700815112</v>
      </c>
      <c r="N14" s="65" t="n">
        <f aca="false">Capitalised_Costs!N13</f>
        <v>903816.409511159</v>
      </c>
      <c r="O14" s="65" t="n">
        <f aca="false">Capitalised_Costs!O13</f>
        <v>915610.076556482</v>
      </c>
      <c r="P14" s="65" t="n">
        <f aca="false">Capitalised_Costs!P13</f>
        <v>926569.391936308</v>
      </c>
      <c r="Q14" s="65" t="n">
        <f aca="false">Capitalised_Costs!Q13</f>
        <v>944579.151010305</v>
      </c>
      <c r="R14" s="65" t="n">
        <f aca="false">Capitalised_Costs!R13</f>
        <v>961831.534737686</v>
      </c>
      <c r="S14" s="65" t="n">
        <f aca="false">Capitalised_Costs!S13</f>
        <v>978341.990717711</v>
      </c>
      <c r="T14" s="65" t="n">
        <f aca="false">Capitalised_Costs!T13</f>
        <v>995663.956542009</v>
      </c>
      <c r="U14" s="65" t="n">
        <f aca="false">Capitalised_Costs!U13</f>
        <v>1012132.309052</v>
      </c>
      <c r="V14" s="65" t="n">
        <f aca="false">Capitalised_Costs!V13</f>
        <v>1027796.35540337</v>
      </c>
      <c r="W14" s="65" t="n">
        <f aca="false">Capitalised_Costs!W13</f>
        <v>1042659.34645613</v>
      </c>
      <c r="X14" s="65" t="n">
        <f aca="false">Capitalised_Costs!X13</f>
        <v>1056847.82543012</v>
      </c>
      <c r="Y14" s="65" t="n">
        <f aca="false">Capitalised_Costs!Y13</f>
        <v>1072589.31704456</v>
      </c>
      <c r="Z14" s="65" t="n">
        <f aca="false">Capitalised_Costs!Z13</f>
        <v>1087400.71433338</v>
      </c>
      <c r="AA14" s="65" t="n">
        <f aca="false">Capitalised_Costs!AA13</f>
        <v>1101328.02371905</v>
      </c>
      <c r="AB14" s="65" t="n">
        <f aca="false">Capitalised_Costs!AB13</f>
        <v>1114375.07860701</v>
      </c>
    </row>
    <row r="15" customFormat="false" ht="15" hidden="false" customHeight="false" outlineLevel="0" collapsed="false">
      <c r="A15" s="28" t="s">
        <v>431</v>
      </c>
      <c r="B15" s="63" t="s">
        <v>78</v>
      </c>
      <c r="C15" s="64" t="n">
        <f aca="false">P15</f>
        <v>139143.747453704</v>
      </c>
      <c r="D15" s="64" t="n">
        <f aca="false">AB15</f>
        <v>136417.555437807</v>
      </c>
      <c r="E15" s="65" t="n">
        <f aca="false">Fixed_Assets!E12</f>
        <v>148644.37</v>
      </c>
      <c r="F15" s="65" t="n">
        <f aca="false">Fixed_Assets!F12</f>
        <v>149579.996388889</v>
      </c>
      <c r="G15" s="65" t="n">
        <f aca="false">Fixed_Assets!G12</f>
        <v>150572.835833333</v>
      </c>
      <c r="H15" s="65" t="n">
        <f aca="false">Fixed_Assets!H12</f>
        <v>151447.611666667</v>
      </c>
      <c r="I15" s="65" t="n">
        <f aca="false">Fixed_Assets!I12</f>
        <v>151478.385277778</v>
      </c>
      <c r="J15" s="65" t="n">
        <f aca="false">Fixed_Assets!J12</f>
        <v>150271.4725</v>
      </c>
      <c r="K15" s="65" t="n">
        <f aca="false">Fixed_Assets!K12</f>
        <v>148685.213055556</v>
      </c>
      <c r="L15" s="65" t="n">
        <f aca="false">Fixed_Assets!L12</f>
        <v>144706.11</v>
      </c>
      <c r="M15" s="65" t="n">
        <f aca="false">Fixed_Assets!M12</f>
        <v>142920.133611111</v>
      </c>
      <c r="N15" s="65" t="n">
        <f aca="false">Fixed_Assets!N12</f>
        <v>141003.601666667</v>
      </c>
      <c r="O15" s="65" t="n">
        <f aca="false">Fixed_Assets!O12</f>
        <v>141125.680833333</v>
      </c>
      <c r="P15" s="65" t="n">
        <f aca="false">Fixed_Assets!P12</f>
        <v>139143.747453704</v>
      </c>
      <c r="Q15" s="65" t="n">
        <f aca="false">Fixed_Assets!Q12</f>
        <v>150316.044129244</v>
      </c>
      <c r="R15" s="65" t="n">
        <f aca="false">Fixed_Assets!R12</f>
        <v>147721.620533021</v>
      </c>
      <c r="S15" s="65" t="n">
        <f aca="false">Fixed_Assets!S12</f>
        <v>148788.035502319</v>
      </c>
      <c r="T15" s="65" t="n">
        <f aca="false">Fixed_Assets!T12</f>
        <v>147885.278547172</v>
      </c>
      <c r="U15" s="65" t="n">
        <f aca="false">Fixed_Assets!U12</f>
        <v>148683.726106452</v>
      </c>
      <c r="V15" s="65" t="n">
        <f aca="false">Fixed_Assets!V12</f>
        <v>145494.039220447</v>
      </c>
      <c r="W15" s="65" t="n">
        <f aca="false">Fixed_Assets!W12</f>
        <v>142177.305728467</v>
      </c>
      <c r="X15" s="65" t="n">
        <f aca="false">Fixed_Assets!X12</f>
        <v>138777.144879977</v>
      </c>
      <c r="Y15" s="65" t="n">
        <f aca="false">Fixed_Assets!Y12</f>
        <v>139028.476683718</v>
      </c>
      <c r="Z15" s="65" t="n">
        <f aca="false">Fixed_Assets!Z12</f>
        <v>135825.973628219</v>
      </c>
      <c r="AA15" s="65" t="n">
        <f aca="false">Fixed_Assets!AA12</f>
        <v>136176.341207733</v>
      </c>
      <c r="AB15" s="65" t="n">
        <f aca="false">Fixed_Assets!AB12</f>
        <v>136417.555437807</v>
      </c>
    </row>
    <row r="16" customFormat="false" ht="15" hidden="false" customHeight="false" outlineLevel="0" collapsed="false">
      <c r="A16" s="59" t="s">
        <v>432</v>
      </c>
      <c r="B16" s="60"/>
      <c r="C16" s="61" t="n">
        <f aca="false">P16</f>
        <v>5581628.19995526</v>
      </c>
      <c r="D16" s="61" t="n">
        <f aca="false">AB16</f>
        <v>4284858.17728353</v>
      </c>
      <c r="E16" s="61" t="n">
        <f aca="false">SUM(E9:E15)</f>
        <v>6908268.67257602</v>
      </c>
      <c r="F16" s="61" t="n">
        <f aca="false">SUM(F9:F15)</f>
        <v>6748173.12417516</v>
      </c>
      <c r="G16" s="61" t="n">
        <f aca="false">SUM(G9:G15)</f>
        <v>6992426.32717356</v>
      </c>
      <c r="H16" s="61" t="n">
        <f aca="false">SUM(H9:H15)</f>
        <v>6775152.43829828</v>
      </c>
      <c r="I16" s="61" t="n">
        <f aca="false">SUM(I9:I15)</f>
        <v>6802923.88766072</v>
      </c>
      <c r="J16" s="61" t="n">
        <f aca="false">SUM(J9:J15)</f>
        <v>6597410.01254777</v>
      </c>
      <c r="K16" s="61" t="n">
        <f aca="false">SUM(K9:K15)</f>
        <v>6255917.99546241</v>
      </c>
      <c r="L16" s="61" t="n">
        <f aca="false">SUM(L9:L15)</f>
        <v>6045191.04290086</v>
      </c>
      <c r="M16" s="61" t="n">
        <f aca="false">SUM(M9:M15)</f>
        <v>6160560.91703374</v>
      </c>
      <c r="N16" s="61" t="n">
        <f aca="false">SUM(N9:N15)</f>
        <v>5792847.25965356</v>
      </c>
      <c r="O16" s="61" t="n">
        <f aca="false">SUM(O9:O15)</f>
        <v>5945555.87807407</v>
      </c>
      <c r="P16" s="61" t="n">
        <f aca="false">SUM(P9:P15)</f>
        <v>5581628.19995526</v>
      </c>
      <c r="Q16" s="61" t="n">
        <f aca="false">SUM(Q9:Q15)</f>
        <v>5707483.9339559</v>
      </c>
      <c r="R16" s="61" t="n">
        <f aca="false">SUM(R9:R15)</f>
        <v>5344267.81952818</v>
      </c>
      <c r="S16" s="61" t="n">
        <f aca="false">SUM(S9:S15)</f>
        <v>5507224.80117017</v>
      </c>
      <c r="T16" s="61" t="n">
        <f aca="false">SUM(T9:T15)</f>
        <v>5510811.76174928</v>
      </c>
      <c r="U16" s="61" t="n">
        <f aca="false">SUM(U9:U15)</f>
        <v>5378729.00832652</v>
      </c>
      <c r="V16" s="61" t="n">
        <f aca="false">SUM(V9:V15)</f>
        <v>5053804.00626344</v>
      </c>
      <c r="W16" s="61" t="n">
        <f aca="false">SUM(W9:W15)</f>
        <v>4945762.70579307</v>
      </c>
      <c r="X16" s="61" t="n">
        <f aca="false">SUM(X9:X15)</f>
        <v>4686349.91958738</v>
      </c>
      <c r="Y16" s="61" t="n">
        <f aca="false">SUM(Y9:Y15)</f>
        <v>4786326.43126176</v>
      </c>
      <c r="Z16" s="61" t="n">
        <f aca="false">SUM(Z9:Z15)</f>
        <v>4675490.01814194</v>
      </c>
      <c r="AA16" s="61" t="n">
        <f aca="false">SUM(AA9:AA15)</f>
        <v>4759970.93720431</v>
      </c>
      <c r="AB16" s="61" t="n">
        <f aca="false">SUM(AB9:AB15)</f>
        <v>4284858.17728353</v>
      </c>
    </row>
    <row r="17" customFormat="false" ht="15" hidden="false" customHeight="false" outlineLevel="0" collapsed="false">
      <c r="A17" s="22" t="s">
        <v>433</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row>
    <row r="18" customFormat="false" ht="15" hidden="false" customHeight="false" outlineLevel="0" collapsed="false">
      <c r="A18" s="28" t="s">
        <v>434</v>
      </c>
      <c r="B18" s="63" t="s">
        <v>70</v>
      </c>
      <c r="C18" s="64" t="n">
        <f aca="false">P18</f>
        <v>58516.5463862267</v>
      </c>
      <c r="D18" s="64" t="n">
        <f aca="false">AB18</f>
        <v>69128.1481125546</v>
      </c>
      <c r="E18" s="65" t="n">
        <f aca="false">Payables!E11</f>
        <v>52433.05</v>
      </c>
      <c r="F18" s="65" t="n">
        <f aca="false">Payables!F11</f>
        <v>53515.25</v>
      </c>
      <c r="G18" s="65" t="n">
        <f aca="false">Payables!G11</f>
        <v>52397.87</v>
      </c>
      <c r="H18" s="65" t="n">
        <f aca="false">Payables!H11</f>
        <v>54290.39</v>
      </c>
      <c r="I18" s="65" t="n">
        <f aca="false">Payables!I11</f>
        <v>54703.69</v>
      </c>
      <c r="J18" s="65" t="n">
        <f aca="false">Payables!J11</f>
        <v>55827.87</v>
      </c>
      <c r="K18" s="65" t="n">
        <f aca="false">Payables!K11</f>
        <v>55234.4</v>
      </c>
      <c r="L18" s="65" t="n">
        <f aca="false">Payables!L11</f>
        <v>57077.91</v>
      </c>
      <c r="M18" s="65" t="n">
        <f aca="false">Payables!M11</f>
        <v>56804.4589610682</v>
      </c>
      <c r="N18" s="65" t="n">
        <f aca="false">Payables!N11</f>
        <v>57213.1047137646</v>
      </c>
      <c r="O18" s="65" t="n">
        <f aca="false">Payables!O11</f>
        <v>58015.0353832541</v>
      </c>
      <c r="P18" s="65" t="n">
        <f aca="false">Payables!P11</f>
        <v>58516.5463862267</v>
      </c>
      <c r="Q18" s="65" t="n">
        <f aca="false">Payables!Q11</f>
        <v>62035.319402752</v>
      </c>
      <c r="R18" s="65" t="n">
        <f aca="false">Payables!R11</f>
        <v>62554.8830862954</v>
      </c>
      <c r="S18" s="65" t="n">
        <f aca="false">Payables!S11</f>
        <v>63536.6195569118</v>
      </c>
      <c r="T18" s="65" t="n">
        <f aca="false">Payables!T11</f>
        <v>64280.5932337319</v>
      </c>
      <c r="U18" s="65" t="n">
        <f aca="false">Payables!U11</f>
        <v>65110.4888032051</v>
      </c>
      <c r="V18" s="65" t="n">
        <f aca="false">Payables!V11</f>
        <v>65619.3642848004</v>
      </c>
      <c r="W18" s="65" t="n">
        <f aca="false">Payables!W11</f>
        <v>66076.2788560032</v>
      </c>
      <c r="X18" s="65" t="n">
        <f aca="false">Payables!X11</f>
        <v>66452.7219106105</v>
      </c>
      <c r="Y18" s="65" t="n">
        <f aca="false">Payables!Y11</f>
        <v>67507.1538076249</v>
      </c>
      <c r="Z18" s="65" t="n">
        <f aca="false">Payables!Z11</f>
        <v>68104.1231786645</v>
      </c>
      <c r="AA18" s="65" t="n">
        <f aca="false">Payables!AA11</f>
        <v>68655.9973834944</v>
      </c>
      <c r="AB18" s="65" t="n">
        <f aca="false">Payables!AB11</f>
        <v>69128.1481125546</v>
      </c>
    </row>
    <row r="19" customFormat="false" ht="15" hidden="false" customHeight="false" outlineLevel="0" collapsed="false">
      <c r="A19" s="28" t="s">
        <v>435</v>
      </c>
      <c r="B19" s="63" t="s">
        <v>70</v>
      </c>
      <c r="C19" s="64" t="n">
        <f aca="false">P19</f>
        <v>33000</v>
      </c>
      <c r="D19" s="64" t="n">
        <f aca="false">AB19</f>
        <v>33990</v>
      </c>
      <c r="E19" s="65" t="n">
        <f aca="false">Payables!E15</f>
        <v>36475.09</v>
      </c>
      <c r="F19" s="65" t="n">
        <f aca="false">Payables!F15</f>
        <v>38498.56</v>
      </c>
      <c r="G19" s="65" t="n">
        <f aca="false">Payables!G15</f>
        <v>35166.73</v>
      </c>
      <c r="H19" s="65" t="n">
        <f aca="false">Payables!H15</f>
        <v>34831.18</v>
      </c>
      <c r="I19" s="65" t="n">
        <f aca="false">Payables!I15</f>
        <v>31906.43</v>
      </c>
      <c r="J19" s="65" t="n">
        <f aca="false">Payables!J15</f>
        <v>35215.17</v>
      </c>
      <c r="K19" s="65" t="n">
        <f aca="false">Payables!K15</f>
        <v>34104.56</v>
      </c>
      <c r="L19" s="65" t="n">
        <f aca="false">Payables!L15</f>
        <v>26711.78</v>
      </c>
      <c r="M19" s="65" t="n">
        <f aca="false">Payables!M15</f>
        <v>33000</v>
      </c>
      <c r="N19" s="65" t="n">
        <f aca="false">Payables!N15</f>
        <v>33000</v>
      </c>
      <c r="O19" s="65" t="n">
        <f aca="false">Payables!O15</f>
        <v>33000</v>
      </c>
      <c r="P19" s="65" t="n">
        <f aca="false">Payables!P15</f>
        <v>33000</v>
      </c>
      <c r="Q19" s="65" t="n">
        <f aca="false">Payables!Q15</f>
        <v>39088.5</v>
      </c>
      <c r="R19" s="65" t="n">
        <f aca="false">Payables!R15</f>
        <v>39088.5</v>
      </c>
      <c r="S19" s="65" t="n">
        <f aca="false">Payables!S15</f>
        <v>39088.5</v>
      </c>
      <c r="T19" s="65" t="n">
        <f aca="false">Payables!T15</f>
        <v>33990</v>
      </c>
      <c r="U19" s="65" t="n">
        <f aca="false">Payables!U15</f>
        <v>33990</v>
      </c>
      <c r="V19" s="65" t="n">
        <f aca="false">Payables!V15</f>
        <v>33990</v>
      </c>
      <c r="W19" s="65" t="n">
        <f aca="false">Payables!W15</f>
        <v>33990</v>
      </c>
      <c r="X19" s="65" t="n">
        <f aca="false">Payables!X15</f>
        <v>27192</v>
      </c>
      <c r="Y19" s="65" t="n">
        <f aca="false">Payables!Y15</f>
        <v>33990</v>
      </c>
      <c r="Z19" s="65" t="n">
        <f aca="false">Payables!Z15</f>
        <v>33990</v>
      </c>
      <c r="AA19" s="65" t="n">
        <f aca="false">Payables!AA15</f>
        <v>33990</v>
      </c>
      <c r="AB19" s="65" t="n">
        <f aca="false">Payables!AB15</f>
        <v>33990</v>
      </c>
    </row>
    <row r="20" customFormat="false" ht="15" hidden="false" customHeight="false" outlineLevel="0" collapsed="false">
      <c r="A20" s="28" t="s">
        <v>436</v>
      </c>
      <c r="B20" s="63" t="s">
        <v>70</v>
      </c>
      <c r="C20" s="64" t="n">
        <f aca="false">P20</f>
        <v>70658.7566222222</v>
      </c>
      <c r="D20" s="64" t="n">
        <f aca="false">AB20</f>
        <v>73941.3815069604</v>
      </c>
      <c r="E20" s="65" t="n">
        <f aca="false">Payables!E19</f>
        <v>72800.14315</v>
      </c>
      <c r="F20" s="65" t="n">
        <f aca="false">Payables!F19</f>
        <v>79992.96305</v>
      </c>
      <c r="G20" s="65" t="n">
        <f aca="false">Payables!G19</f>
        <v>102886.2767</v>
      </c>
      <c r="H20" s="65" t="n">
        <f aca="false">Payables!H19</f>
        <v>78431.7882</v>
      </c>
      <c r="I20" s="65" t="n">
        <f aca="false">Payables!I19</f>
        <v>103513.31815</v>
      </c>
      <c r="J20" s="65" t="n">
        <f aca="false">Payables!J19</f>
        <v>74942.88405</v>
      </c>
      <c r="K20" s="65" t="n">
        <f aca="false">Payables!K19</f>
        <v>72109.00555</v>
      </c>
      <c r="L20" s="65" t="n">
        <f aca="false">Payables!L19</f>
        <v>63444.96205</v>
      </c>
      <c r="M20" s="65" t="n">
        <f aca="false">Payables!M19</f>
        <v>69615.5</v>
      </c>
      <c r="N20" s="65" t="n">
        <f aca="false">Payables!N19</f>
        <v>69615.5</v>
      </c>
      <c r="O20" s="65" t="n">
        <f aca="false">Payables!O19</f>
        <v>78456.5666666667</v>
      </c>
      <c r="P20" s="65" t="n">
        <f aca="false">Payables!P19</f>
        <v>70658.7566222222</v>
      </c>
      <c r="Q20" s="65" t="n">
        <f aca="false">Payables!Q19</f>
        <v>126566.450325185</v>
      </c>
      <c r="R20" s="65" t="n">
        <f aca="false">Payables!R19</f>
        <v>72522.1533058101</v>
      </c>
      <c r="S20" s="65" t="n">
        <f aca="false">Payables!S19</f>
        <v>108073.116674688</v>
      </c>
      <c r="T20" s="65" t="n">
        <f aca="false">Payables!T19</f>
        <v>80976.6362565173</v>
      </c>
      <c r="U20" s="65" t="n">
        <f aca="false">Payables!U19</f>
        <v>115630.040536307</v>
      </c>
      <c r="V20" s="65" t="n">
        <f aca="false">Payables!V19</f>
        <v>73469.5515352043</v>
      </c>
      <c r="W20" s="65" t="n">
        <f aca="false">Payables!W19</f>
        <v>73542.779012062</v>
      </c>
      <c r="X20" s="65" t="n">
        <f aca="false">Payables!X19</f>
        <v>73795.8234633087</v>
      </c>
      <c r="Y20" s="65" t="n">
        <f aca="false">Payables!Y19</f>
        <v>89278.6445837738</v>
      </c>
      <c r="Z20" s="65" t="n">
        <f aca="false">Payables!Z19</f>
        <v>73786.2513061591</v>
      </c>
      <c r="AA20" s="65" t="n">
        <f aca="false">Payables!AA19</f>
        <v>73786.4229010825</v>
      </c>
      <c r="AB20" s="65" t="n">
        <f aca="false">Payables!AB19</f>
        <v>73941.3815069604</v>
      </c>
    </row>
    <row r="21" customFormat="false" ht="15" hidden="false" customHeight="false" outlineLevel="0" collapsed="false">
      <c r="A21" s="28" t="s">
        <v>437</v>
      </c>
      <c r="B21" s="63" t="s">
        <v>51</v>
      </c>
      <c r="C21" s="64" t="n">
        <f aca="false">P21</f>
        <v>1808943.83489503</v>
      </c>
      <c r="D21" s="64" t="n">
        <f aca="false">AB21</f>
        <v>2327612.15411221</v>
      </c>
      <c r="E21" s="65" t="n">
        <f aca="false">Billings!E26</f>
        <v>1768251.47</v>
      </c>
      <c r="F21" s="65" t="n">
        <f aca="false">Billings!F26</f>
        <v>1628578.11</v>
      </c>
      <c r="G21" s="65" t="n">
        <f aca="false">Billings!G26</f>
        <v>1825551.27</v>
      </c>
      <c r="H21" s="65" t="n">
        <f aca="false">Billings!H26</f>
        <v>1935428.6</v>
      </c>
      <c r="I21" s="65" t="n">
        <f aca="false">Billings!I26</f>
        <v>1962163.21</v>
      </c>
      <c r="J21" s="65" t="n">
        <f aca="false">Billings!J26</f>
        <v>1977433.39</v>
      </c>
      <c r="K21" s="65" t="n">
        <f aca="false">Billings!K26</f>
        <v>2016189.54</v>
      </c>
      <c r="L21" s="65" t="n">
        <f aca="false">Billings!L26</f>
        <v>1832345.32</v>
      </c>
      <c r="M21" s="65" t="n">
        <f aca="false">Billings!M26</f>
        <v>1928689.50462812</v>
      </c>
      <c r="N21" s="65" t="n">
        <f aca="false">Billings!N26</f>
        <v>1858413.44451427</v>
      </c>
      <c r="O21" s="65" t="n">
        <f aca="false">Billings!O26</f>
        <v>1954658.4426478</v>
      </c>
      <c r="P21" s="65" t="n">
        <f aca="false">Billings!P26</f>
        <v>1808943.83489503</v>
      </c>
      <c r="Q21" s="65" t="n">
        <f aca="false">Billings!Q26</f>
        <v>2222529.98663996</v>
      </c>
      <c r="R21" s="65" t="n">
        <f aca="false">Billings!R26</f>
        <v>2087647.29917375</v>
      </c>
      <c r="S21" s="65" t="n">
        <f aca="false">Billings!S26</f>
        <v>2292858.33121694</v>
      </c>
      <c r="T21" s="65" t="n">
        <f aca="false">Billings!T26</f>
        <v>2420332.0990197</v>
      </c>
      <c r="U21" s="65" t="n">
        <f aca="false">Billings!U26</f>
        <v>2417549.19641898</v>
      </c>
      <c r="V21" s="65" t="n">
        <f aca="false">Billings!V26</f>
        <v>2442920.80500031</v>
      </c>
      <c r="W21" s="65" t="n">
        <f aca="false">Billings!W26</f>
        <v>2496111.3300149</v>
      </c>
      <c r="X21" s="65" t="n">
        <f aca="false">Billings!X26</f>
        <v>2309286.62511926</v>
      </c>
      <c r="Y21" s="65" t="n">
        <f aca="false">Billings!Y26</f>
        <v>2422996.71737463</v>
      </c>
      <c r="Z21" s="65" t="n">
        <f aca="false">Billings!Z26</f>
        <v>2364989.58633437</v>
      </c>
      <c r="AA21" s="65" t="n">
        <f aca="false">Billings!AA26</f>
        <v>2471650.91012067</v>
      </c>
      <c r="AB21" s="65" t="n">
        <f aca="false">Billings!AB26</f>
        <v>2327612.15411221</v>
      </c>
    </row>
    <row r="22" customFormat="false" ht="15" hidden="false" customHeight="false" outlineLevel="0" collapsed="false">
      <c r="A22" s="28" t="s">
        <v>438</v>
      </c>
      <c r="B22" s="63" t="s">
        <v>51</v>
      </c>
      <c r="C22" s="64" t="n">
        <f aca="false">P22</f>
        <v>91880.23625</v>
      </c>
      <c r="D22" s="64" t="n">
        <f aca="false">AB22</f>
        <v>98073.4961458333</v>
      </c>
      <c r="E22" s="65" t="n">
        <f aca="false">Billings!E30</f>
        <v>75974.9966666667</v>
      </c>
      <c r="F22" s="65" t="n">
        <f aca="false">Billings!F30</f>
        <v>72383.33</v>
      </c>
      <c r="G22" s="65" t="n">
        <f aca="false">Billings!G30</f>
        <v>76833.33</v>
      </c>
      <c r="H22" s="65" t="n">
        <f aca="false">Billings!H30</f>
        <v>101308.33</v>
      </c>
      <c r="I22" s="65" t="n">
        <f aca="false">Billings!I30</f>
        <v>94074.9966666667</v>
      </c>
      <c r="J22" s="65" t="n">
        <f aca="false">Billings!J30</f>
        <v>88508.33</v>
      </c>
      <c r="K22" s="65" t="n">
        <f aca="false">Billings!K30</f>
        <v>96941.6633333333</v>
      </c>
      <c r="L22" s="65" t="n">
        <f aca="false">Billings!L30</f>
        <v>93633.33</v>
      </c>
      <c r="M22" s="65" t="n">
        <f aca="false">Billings!M30</f>
        <v>89307.99875</v>
      </c>
      <c r="N22" s="65" t="n">
        <f aca="false">Billings!N30</f>
        <v>84431.0466666667</v>
      </c>
      <c r="O22" s="65" t="n">
        <f aca="false">Billings!O30</f>
        <v>89458.9654166667</v>
      </c>
      <c r="P22" s="65" t="n">
        <f aca="false">Billings!P30</f>
        <v>91880.23625</v>
      </c>
      <c r="Q22" s="65" t="n">
        <f aca="false">Billings!Q30</f>
        <v>95128.9105208333</v>
      </c>
      <c r="R22" s="65" t="n">
        <f aca="false">Billings!R30</f>
        <v>95014.4665625</v>
      </c>
      <c r="S22" s="65" t="n">
        <f aca="false">Billings!S30</f>
        <v>96415.9742708333</v>
      </c>
      <c r="T22" s="65" t="n">
        <f aca="false">Billings!T30</f>
        <v>98620.6432291667</v>
      </c>
      <c r="U22" s="65" t="n">
        <f aca="false">Billings!U30</f>
        <v>93045.9034375</v>
      </c>
      <c r="V22" s="65" t="n">
        <f aca="false">Billings!V30</f>
        <v>94236.1940625</v>
      </c>
      <c r="W22" s="65" t="n">
        <f aca="false">Billings!W30</f>
        <v>94905.1702083333</v>
      </c>
      <c r="X22" s="65" t="n">
        <f aca="false">Billings!X30</f>
        <v>93489.4666666667</v>
      </c>
      <c r="Y22" s="65" t="n">
        <f aca="false">Billings!Y30</f>
        <v>95702.1753125</v>
      </c>
      <c r="Z22" s="65" t="n">
        <f aca="false">Billings!Z30</f>
        <v>97633.71125</v>
      </c>
      <c r="AA22" s="65" t="n">
        <f aca="false">Billings!AA30</f>
        <v>98669.7907291667</v>
      </c>
      <c r="AB22" s="65" t="n">
        <f aca="false">Billings!AB30</f>
        <v>98073.4961458333</v>
      </c>
    </row>
    <row r="23" customFormat="false" ht="15" hidden="false" customHeight="false" outlineLevel="0" collapsed="false">
      <c r="A23" s="28" t="s">
        <v>439</v>
      </c>
      <c r="B23" s="63" t="s">
        <v>60</v>
      </c>
      <c r="C23" s="64" t="n">
        <f aca="false">P23</f>
        <v>127837.597548146</v>
      </c>
      <c r="D23" s="64" t="n">
        <f aca="false">AB23</f>
        <v>151832.185841633</v>
      </c>
      <c r="E23" s="65" t="n">
        <f aca="false">People!E212</f>
        <v>117502.667955</v>
      </c>
      <c r="F23" s="65" t="n">
        <f aca="false">People!F212</f>
        <v>118966.83707</v>
      </c>
      <c r="G23" s="65" t="n">
        <f aca="false">People!G212</f>
        <v>122596.27766</v>
      </c>
      <c r="H23" s="65" t="n">
        <f aca="false">People!H212</f>
        <v>128914.01949</v>
      </c>
      <c r="I23" s="65" t="n">
        <f aca="false">People!I212</f>
        <v>127183.017245</v>
      </c>
      <c r="J23" s="65" t="n">
        <f aca="false">People!J212</f>
        <v>127616.89423</v>
      </c>
      <c r="K23" s="65" t="n">
        <f aca="false">People!K212</f>
        <v>129488.19695</v>
      </c>
      <c r="L23" s="65" t="n">
        <f aca="false">People!L212</f>
        <v>125578.710805</v>
      </c>
      <c r="M23" s="65" t="n">
        <f aca="false">People!M212</f>
        <v>125034.3194305</v>
      </c>
      <c r="N23" s="65" t="n">
        <f aca="false">People!N212</f>
        <v>124826.721590066</v>
      </c>
      <c r="O23" s="65" t="n">
        <f aca="false">People!O212</f>
        <v>127878.030430852</v>
      </c>
      <c r="P23" s="65" t="n">
        <f aca="false">People!P212</f>
        <v>127837.597548146</v>
      </c>
      <c r="Q23" s="65" t="n">
        <f aca="false">People!Q212</f>
        <v>144837.439615833</v>
      </c>
      <c r="R23" s="65" t="n">
        <f aca="false">People!R212</f>
        <v>144087.939191486</v>
      </c>
      <c r="S23" s="65" t="n">
        <f aca="false">People!S212</f>
        <v>146291.855999117</v>
      </c>
      <c r="T23" s="65" t="n">
        <f aca="false">People!T212</f>
        <v>147643.09995993</v>
      </c>
      <c r="U23" s="65" t="n">
        <f aca="false">People!U212</f>
        <v>148686.080925977</v>
      </c>
      <c r="V23" s="65" t="n">
        <f aca="false">People!V212</f>
        <v>149707.378481412</v>
      </c>
      <c r="W23" s="65" t="n">
        <f aca="false">People!W212</f>
        <v>149817.930082314</v>
      </c>
      <c r="X23" s="65" t="n">
        <f aca="false">People!X212</f>
        <v>149378.173291914</v>
      </c>
      <c r="Y23" s="65" t="n">
        <f aca="false">People!Y212</f>
        <v>152226.568344033</v>
      </c>
      <c r="Z23" s="65" t="n">
        <f aca="false">People!Z212</f>
        <v>152321.01810794</v>
      </c>
      <c r="AA23" s="65" t="n">
        <f aca="false">People!AA212</f>
        <v>152263.578466251</v>
      </c>
      <c r="AB23" s="65" t="n">
        <f aca="false">People!AB212</f>
        <v>151832.185841633</v>
      </c>
    </row>
    <row r="24" customFormat="false" ht="15" hidden="false" customHeight="false" outlineLevel="0" collapsed="false">
      <c r="A24" s="28" t="s">
        <v>440</v>
      </c>
      <c r="B24" s="63" t="s">
        <v>74</v>
      </c>
      <c r="C24" s="64" t="n">
        <f aca="false">P24</f>
        <v>227604.609866051</v>
      </c>
      <c r="D24" s="64" t="n">
        <f aca="false">AB24</f>
        <v>133000.217165887</v>
      </c>
      <c r="E24" s="65" t="n">
        <f aca="false">Tax!E11</f>
        <v>52878.7324</v>
      </c>
      <c r="F24" s="65" t="n">
        <f aca="false">Tax!F11</f>
        <v>108343.425</v>
      </c>
      <c r="G24" s="65" t="n">
        <f aca="false">Tax!G11</f>
        <v>163794.2888</v>
      </c>
      <c r="H24" s="65" t="n">
        <f aca="false">Tax!H11</f>
        <v>57240.6076</v>
      </c>
      <c r="I24" s="65" t="n">
        <f aca="false">Tax!I11</f>
        <v>117073.4512</v>
      </c>
      <c r="J24" s="65" t="n">
        <f aca="false">Tax!J11</f>
        <v>229394.7378</v>
      </c>
      <c r="K24" s="65" t="n">
        <f aca="false">Tax!K11</f>
        <v>57573.084</v>
      </c>
      <c r="L24" s="65" t="n">
        <f aca="false">Tax!L11</f>
        <v>115547.0464</v>
      </c>
      <c r="M24" s="65" t="n">
        <f aca="false">Tax!M11</f>
        <v>172254.879380952</v>
      </c>
      <c r="N24" s="65" t="n">
        <f aca="false">Tax!N11</f>
        <v>56596.1914421811</v>
      </c>
      <c r="O24" s="65" t="n">
        <f aca="false">Tax!O11</f>
        <v>113742.76534012</v>
      </c>
      <c r="P24" s="65" t="n">
        <f aca="false">Tax!P11</f>
        <v>227604.609866051</v>
      </c>
      <c r="Q24" s="65" t="n">
        <f aca="false">Tax!Q11</f>
        <v>65049.1776002375</v>
      </c>
      <c r="R24" s="65" t="n">
        <f aca="false">Tax!R11</f>
        <v>65242.4927509753</v>
      </c>
      <c r="S24" s="65" t="n">
        <f aca="false">Tax!S11</f>
        <v>65421.5181807766</v>
      </c>
      <c r="T24" s="65" t="n">
        <f aca="false">Tax!T11</f>
        <v>66196.9559105873</v>
      </c>
      <c r="U24" s="65" t="n">
        <f aca="false">Tax!U11</f>
        <v>66868.7307478122</v>
      </c>
      <c r="V24" s="65" t="n">
        <f aca="false">Tax!V11</f>
        <v>130215.821178158</v>
      </c>
      <c r="W24" s="65" t="n">
        <f aca="false">Tax!W11</f>
        <v>66896.2288039684</v>
      </c>
      <c r="X24" s="65" t="n">
        <f aca="false">Tax!X11</f>
        <v>66829.3542517114</v>
      </c>
      <c r="Y24" s="65" t="n">
        <f aca="false">Tax!Y11</f>
        <v>67192.655710668</v>
      </c>
      <c r="Z24" s="65" t="n">
        <f aca="false">Tax!Z11</f>
        <v>67666.9644438286</v>
      </c>
      <c r="AA24" s="65" t="n">
        <f aca="false">Tax!AA11</f>
        <v>67628.2445809659</v>
      </c>
      <c r="AB24" s="65" t="n">
        <f aca="false">Tax!AB11</f>
        <v>133000.217165887</v>
      </c>
    </row>
    <row r="25" customFormat="false" ht="15" hidden="false" customHeight="false" outlineLevel="0" collapsed="false">
      <c r="A25" s="28" t="s">
        <v>441</v>
      </c>
      <c r="B25" s="63" t="s">
        <v>74</v>
      </c>
      <c r="C25" s="64" t="n">
        <f aca="false">P25</f>
        <v>8835</v>
      </c>
      <c r="D25" s="64" t="n">
        <f aca="false">AB25</f>
        <v>3033.35</v>
      </c>
      <c r="E25" s="65" t="n">
        <f aca="false">Tax!E17</f>
        <v>2945</v>
      </c>
      <c r="F25" s="65" t="n">
        <f aca="false">Tax!F17</f>
        <v>5890</v>
      </c>
      <c r="G25" s="65" t="n">
        <f aca="false">Tax!G17</f>
        <v>8835</v>
      </c>
      <c r="H25" s="65" t="n">
        <f aca="false">Tax!H17</f>
        <v>2945</v>
      </c>
      <c r="I25" s="65" t="n">
        <f aca="false">Tax!I17</f>
        <v>5890</v>
      </c>
      <c r="J25" s="65" t="n">
        <f aca="false">Tax!J17</f>
        <v>8835</v>
      </c>
      <c r="K25" s="65" t="n">
        <f aca="false">Tax!K17</f>
        <v>2945</v>
      </c>
      <c r="L25" s="65" t="n">
        <f aca="false">Tax!L17</f>
        <v>5890</v>
      </c>
      <c r="M25" s="65" t="n">
        <f aca="false">Tax!M17</f>
        <v>8835</v>
      </c>
      <c r="N25" s="65" t="n">
        <f aca="false">Tax!N17</f>
        <v>2945</v>
      </c>
      <c r="O25" s="65" t="n">
        <f aca="false">Tax!O17</f>
        <v>5890</v>
      </c>
      <c r="P25" s="65" t="n">
        <f aca="false">Tax!P17</f>
        <v>8835</v>
      </c>
      <c r="Q25" s="65" t="n">
        <f aca="false">Tax!Q17</f>
        <v>3033.35</v>
      </c>
      <c r="R25" s="65" t="n">
        <f aca="false">Tax!R17</f>
        <v>3033.35</v>
      </c>
      <c r="S25" s="65" t="n">
        <f aca="false">Tax!S17</f>
        <v>3033.35</v>
      </c>
      <c r="T25" s="65" t="n">
        <f aca="false">Tax!T17</f>
        <v>3033.35</v>
      </c>
      <c r="U25" s="65" t="n">
        <f aca="false">Tax!U17</f>
        <v>3033.35</v>
      </c>
      <c r="V25" s="65" t="n">
        <f aca="false">Tax!V17</f>
        <v>3033.35</v>
      </c>
      <c r="W25" s="65" t="n">
        <f aca="false">Tax!W17</f>
        <v>3033.35</v>
      </c>
      <c r="X25" s="65" t="n">
        <f aca="false">Tax!X17</f>
        <v>3033.35</v>
      </c>
      <c r="Y25" s="65" t="n">
        <f aca="false">Tax!Y17</f>
        <v>3033.35</v>
      </c>
      <c r="Z25" s="65" t="n">
        <f aca="false">Tax!Z17</f>
        <v>3033.35</v>
      </c>
      <c r="AA25" s="65" t="n">
        <f aca="false">Tax!AA17</f>
        <v>3033.35</v>
      </c>
      <c r="AB25" s="65" t="n">
        <f aca="false">Tax!AB17</f>
        <v>3033.35</v>
      </c>
    </row>
    <row r="26" customFormat="false" ht="15" hidden="false" customHeight="false" outlineLevel="0" collapsed="false">
      <c r="A26" s="28" t="s">
        <v>442</v>
      </c>
      <c r="B26" s="63" t="s">
        <v>72</v>
      </c>
      <c r="C26" s="64" t="n">
        <f aca="false">P26</f>
        <v>162699.343997706</v>
      </c>
      <c r="D26" s="64" t="n">
        <f aca="false">AB26</f>
        <v>53857.5676404648</v>
      </c>
      <c r="E26" s="65" t="n">
        <f aca="false">VAT!E15</f>
        <v>111066.793803</v>
      </c>
      <c r="F26" s="65" t="n">
        <f aca="false">VAT!F15</f>
        <v>140683.969734</v>
      </c>
      <c r="G26" s="65" t="n">
        <f aca="false">VAT!G15</f>
        <v>219166.45695</v>
      </c>
      <c r="H26" s="65" t="n">
        <f aca="false">VAT!H15</f>
        <v>75316.078147</v>
      </c>
      <c r="I26" s="65" t="n">
        <f aca="false">VAT!I15</f>
        <v>120358.33183</v>
      </c>
      <c r="J26" s="65" t="n">
        <f aca="false">VAT!J15</f>
        <v>190125.194317</v>
      </c>
      <c r="K26" s="65" t="n">
        <f aca="false">VAT!K15</f>
        <v>44423.990553</v>
      </c>
      <c r="L26" s="65" t="n">
        <f aca="false">VAT!L15</f>
        <v>79814.644047</v>
      </c>
      <c r="M26" s="65" t="n">
        <f aca="false">VAT!M15</f>
        <v>135262.597421556</v>
      </c>
      <c r="N26" s="65" t="n">
        <f aca="false">VAT!N15</f>
        <v>58595.0959140703</v>
      </c>
      <c r="O26" s="65" t="n">
        <f aca="false">VAT!O15</f>
        <v>126369.818337478</v>
      </c>
      <c r="P26" s="65" t="n">
        <f aca="false">VAT!P15</f>
        <v>162699.343997706</v>
      </c>
      <c r="Q26" s="65" t="n">
        <f aca="false">VAT!Q15</f>
        <v>109527.27482031</v>
      </c>
      <c r="R26" s="65" t="n">
        <f aca="false">VAT!R15</f>
        <v>44638.2857541813</v>
      </c>
      <c r="S26" s="65" t="n">
        <f aca="false">VAT!S15</f>
        <v>92019.2170960747</v>
      </c>
      <c r="T26" s="65" t="n">
        <f aca="false">VAT!T15</f>
        <v>91518.034292987</v>
      </c>
      <c r="U26" s="65" t="n">
        <f aca="false">VAT!U15</f>
        <v>55485.288584254</v>
      </c>
      <c r="V26" s="65" t="n">
        <f aca="false">VAT!V15</f>
        <v>88188.8554209786</v>
      </c>
      <c r="W26" s="65" t="n">
        <f aca="false">VAT!W15</f>
        <v>62130.7621298482</v>
      </c>
      <c r="X26" s="65" t="n">
        <f aca="false">VAT!X15</f>
        <v>49272.3246879621</v>
      </c>
      <c r="Y26" s="65" t="n">
        <f aca="false">VAT!Y15</f>
        <v>72220.7094958838</v>
      </c>
      <c r="Z26" s="65" t="n">
        <f aca="false">VAT!Z15</f>
        <v>77643.6337764498</v>
      </c>
      <c r="AA26" s="65" t="n">
        <f aca="false">VAT!AA15</f>
        <v>86203.9105622958</v>
      </c>
      <c r="AB26" s="65" t="n">
        <f aca="false">VAT!AB15</f>
        <v>53857.5676404648</v>
      </c>
    </row>
    <row r="27" customFormat="false" ht="15" hidden="false" customHeight="false" outlineLevel="0" collapsed="false">
      <c r="A27" s="28" t="s">
        <v>443</v>
      </c>
      <c r="B27" s="63" t="s">
        <v>60</v>
      </c>
      <c r="C27" s="64" t="n">
        <f aca="false">P27</f>
        <v>10374.858869173</v>
      </c>
      <c r="D27" s="64" t="n">
        <f aca="false">AB27</f>
        <v>9990.47102627354</v>
      </c>
      <c r="E27" s="65" t="n">
        <f aca="false">People!E206</f>
        <v>12097.57</v>
      </c>
      <c r="F27" s="65" t="n">
        <f aca="false">People!F206</f>
        <v>5623.91</v>
      </c>
      <c r="G27" s="65" t="n">
        <f aca="false">People!G206</f>
        <v>10150.16</v>
      </c>
      <c r="H27" s="65" t="n">
        <f aca="false">People!H206</f>
        <v>20230.02</v>
      </c>
      <c r="I27" s="65" t="n">
        <f aca="false">People!I206</f>
        <v>5145.37</v>
      </c>
      <c r="J27" s="65" t="n">
        <f aca="false">People!J206</f>
        <v>6386.09</v>
      </c>
      <c r="K27" s="65" t="n">
        <f aca="false">People!K206</f>
        <v>13006.18</v>
      </c>
      <c r="L27" s="65" t="n">
        <f aca="false">People!L206</f>
        <v>6465.17</v>
      </c>
      <c r="M27" s="65" t="n">
        <f aca="false">People!M206</f>
        <v>6629.884249992</v>
      </c>
      <c r="N27" s="65" t="n">
        <f aca="false">People!N206</f>
        <v>6442.51923678942</v>
      </c>
      <c r="O27" s="65" t="n">
        <f aca="false">People!O206</f>
        <v>11426.9201727284</v>
      </c>
      <c r="P27" s="65" t="n">
        <f aca="false">People!P206</f>
        <v>10374.858869173</v>
      </c>
      <c r="Q27" s="65" t="n">
        <f aca="false">People!Q206</f>
        <v>11809.8937082998</v>
      </c>
      <c r="R27" s="65" t="n">
        <f aca="false">People!R206</f>
        <v>9662.2849191797</v>
      </c>
      <c r="S27" s="65" t="n">
        <f aca="false">People!S206</f>
        <v>10761.1486847541</v>
      </c>
      <c r="T27" s="65" t="n">
        <f aca="false">People!T206</f>
        <v>10261.3880004515</v>
      </c>
      <c r="U27" s="65" t="n">
        <f aca="false">People!U206</f>
        <v>6483.27538224169</v>
      </c>
      <c r="V27" s="65" t="n">
        <f aca="false">People!V206</f>
        <v>10573.1882210565</v>
      </c>
      <c r="W27" s="65" t="n">
        <f aca="false">People!W206</f>
        <v>10199.2909057214</v>
      </c>
      <c r="X27" s="65" t="n">
        <f aca="false">People!X206</f>
        <v>8906.29454014709</v>
      </c>
      <c r="Y27" s="65" t="n">
        <f aca="false">People!Y206</f>
        <v>11574.5020295486</v>
      </c>
      <c r="Z27" s="65" t="n">
        <f aca="false">People!Z206</f>
        <v>11392.1801252181</v>
      </c>
      <c r="AA27" s="65" t="n">
        <f aca="false">People!AA206</f>
        <v>11314.5252803725</v>
      </c>
      <c r="AB27" s="65" t="n">
        <f aca="false">People!AB206</f>
        <v>9990.47102627354</v>
      </c>
    </row>
    <row r="28" customFormat="false" ht="15" hidden="false" customHeight="false" outlineLevel="0" collapsed="false">
      <c r="A28" s="28" t="s">
        <v>444</v>
      </c>
      <c r="B28" s="63" t="s">
        <v>60</v>
      </c>
      <c r="C28" s="64" t="n">
        <f aca="false">P28</f>
        <v>0</v>
      </c>
      <c r="D28" s="64" t="n">
        <f aca="false">AB28</f>
        <v>0</v>
      </c>
      <c r="E28" s="65" t="n">
        <f aca="false">People!E215</f>
        <v>44261.9</v>
      </c>
      <c r="F28" s="65" t="n">
        <f aca="false">People!F215</f>
        <v>89595.23</v>
      </c>
      <c r="G28" s="65" t="n">
        <f aca="false">People!G215</f>
        <v>135952.37</v>
      </c>
      <c r="H28" s="65" t="n">
        <f aca="false">People!H215</f>
        <v>183285.71</v>
      </c>
      <c r="I28" s="65" t="n">
        <f aca="false">People!I215</f>
        <v>231464.29</v>
      </c>
      <c r="J28" s="65" t="n">
        <f aca="false">People!J215</f>
        <v>0</v>
      </c>
      <c r="K28" s="65" t="n">
        <f aca="false">People!K215</f>
        <v>48523.82</v>
      </c>
      <c r="L28" s="65" t="n">
        <f aca="false">People!L215</f>
        <v>96190.49</v>
      </c>
      <c r="M28" s="65" t="n">
        <f aca="false">People!M215</f>
        <v>143795.787619048</v>
      </c>
      <c r="N28" s="65" t="n">
        <f aca="false">People!N215</f>
        <v>191318.897175926</v>
      </c>
      <c r="O28" s="65" t="n">
        <f aca="false">People!O215</f>
        <v>239382.610934854</v>
      </c>
      <c r="P28" s="65" t="n">
        <f aca="false">People!P215</f>
        <v>0</v>
      </c>
      <c r="Q28" s="65" t="n">
        <f aca="false">People!Q215</f>
        <v>54111.1550894902</v>
      </c>
      <c r="R28" s="65" t="n">
        <f aca="false">People!R215</f>
        <v>108166.678252623</v>
      </c>
      <c r="S28" s="65" t="n">
        <f aca="false">People!S215</f>
        <v>162955.760104545</v>
      </c>
      <c r="T28" s="65" t="n">
        <f aca="false">People!T215</f>
        <v>218275.964939017</v>
      </c>
      <c r="U28" s="65" t="n">
        <f aca="false">People!U215</f>
        <v>274441.607945006</v>
      </c>
      <c r="V28" s="65" t="n">
        <f aca="false">People!V215</f>
        <v>0</v>
      </c>
      <c r="W28" s="65" t="n">
        <f aca="false">People!W215</f>
        <v>56133.8818912205</v>
      </c>
      <c r="X28" s="65" t="n">
        <f aca="false">People!X215</f>
        <v>112268.262968887</v>
      </c>
      <c r="Y28" s="65" t="n">
        <f aca="false">People!Y215</f>
        <v>169166.786034134</v>
      </c>
      <c r="Z28" s="65" t="n">
        <f aca="false">People!Z215</f>
        <v>226057.65748108</v>
      </c>
      <c r="AA28" s="65" t="n">
        <f aca="false">People!AA215</f>
        <v>282940.962440642</v>
      </c>
      <c r="AB28" s="65" t="n">
        <f aca="false">People!AB215</f>
        <v>0</v>
      </c>
    </row>
    <row r="29" customFormat="false" ht="15" hidden="false" customHeight="false" outlineLevel="0" collapsed="false">
      <c r="A29" s="28" t="s">
        <v>445</v>
      </c>
      <c r="B29" s="63" t="s">
        <v>74</v>
      </c>
      <c r="C29" s="64" t="n">
        <f aca="false">P29</f>
        <v>0</v>
      </c>
      <c r="D29" s="64" t="n">
        <f aca="false">AB29</f>
        <v>0</v>
      </c>
      <c r="E29" s="65" t="n">
        <f aca="false">Tax!E28</f>
        <v>0</v>
      </c>
      <c r="F29" s="65" t="n">
        <f aca="false">Tax!F28</f>
        <v>0</v>
      </c>
      <c r="G29" s="65" t="n">
        <f aca="false">Tax!G28</f>
        <v>0</v>
      </c>
      <c r="H29" s="65" t="n">
        <f aca="false">Tax!H28</f>
        <v>0</v>
      </c>
      <c r="I29" s="65" t="n">
        <f aca="false">Tax!I28</f>
        <v>0</v>
      </c>
      <c r="J29" s="65" t="n">
        <f aca="false">Tax!J28</f>
        <v>0</v>
      </c>
      <c r="K29" s="65" t="n">
        <f aca="false">Tax!K28</f>
        <v>0</v>
      </c>
      <c r="L29" s="65" t="n">
        <f aca="false">Tax!L28</f>
        <v>0</v>
      </c>
      <c r="M29" s="65" t="n">
        <f aca="false">Tax!M28</f>
        <v>0</v>
      </c>
      <c r="N29" s="65" t="n">
        <f aca="false">Tax!N28</f>
        <v>0</v>
      </c>
      <c r="O29" s="65" t="n">
        <f aca="false">Tax!O28</f>
        <v>0</v>
      </c>
      <c r="P29" s="65" t="n">
        <f aca="false">Tax!P28</f>
        <v>0</v>
      </c>
      <c r="Q29" s="65" t="n">
        <f aca="false">Tax!Q28</f>
        <v>0</v>
      </c>
      <c r="R29" s="65" t="n">
        <f aca="false">Tax!R28</f>
        <v>0</v>
      </c>
      <c r="S29" s="65" t="n">
        <f aca="false">Tax!S28</f>
        <v>0</v>
      </c>
      <c r="T29" s="65" t="n">
        <f aca="false">Tax!T28</f>
        <v>0</v>
      </c>
      <c r="U29" s="65" t="n">
        <f aca="false">Tax!U28</f>
        <v>0</v>
      </c>
      <c r="V29" s="65" t="n">
        <f aca="false">Tax!V28</f>
        <v>0</v>
      </c>
      <c r="W29" s="65" t="n">
        <f aca="false">Tax!W28</f>
        <v>0</v>
      </c>
      <c r="X29" s="65" t="n">
        <f aca="false">Tax!X28</f>
        <v>0</v>
      </c>
      <c r="Y29" s="65" t="n">
        <f aca="false">Tax!Y28</f>
        <v>0</v>
      </c>
      <c r="Z29" s="65" t="n">
        <f aca="false">Tax!Z28</f>
        <v>0</v>
      </c>
      <c r="AA29" s="65" t="n">
        <f aca="false">Tax!AA28</f>
        <v>0</v>
      </c>
      <c r="AB29" s="65" t="n">
        <f aca="false">Tax!AB28</f>
        <v>0</v>
      </c>
    </row>
    <row r="30" customFormat="false" ht="15" hidden="false" customHeight="false" outlineLevel="0" collapsed="false">
      <c r="A30" s="28" t="s">
        <v>446</v>
      </c>
      <c r="B30" s="63" t="s">
        <v>80</v>
      </c>
      <c r="C30" s="64" t="n">
        <f aca="false">P30</f>
        <v>666666.72</v>
      </c>
      <c r="D30" s="64" t="n">
        <f aca="false">AB30</f>
        <v>666666.72</v>
      </c>
      <c r="E30" s="65" t="n">
        <f aca="false">Financing!E12</f>
        <v>666666.72</v>
      </c>
      <c r="F30" s="65" t="n">
        <f aca="false">Financing!F12</f>
        <v>666666.72</v>
      </c>
      <c r="G30" s="65" t="n">
        <f aca="false">Financing!G12</f>
        <v>666666.72</v>
      </c>
      <c r="H30" s="65" t="n">
        <f aca="false">Financing!H12</f>
        <v>666666.72</v>
      </c>
      <c r="I30" s="65" t="n">
        <f aca="false">Financing!I12</f>
        <v>666666.72</v>
      </c>
      <c r="J30" s="65" t="n">
        <f aca="false">Financing!J12</f>
        <v>666666.72</v>
      </c>
      <c r="K30" s="65" t="n">
        <f aca="false">Financing!K12</f>
        <v>666666.72</v>
      </c>
      <c r="L30" s="65" t="n">
        <f aca="false">Financing!L12</f>
        <v>666666.72</v>
      </c>
      <c r="M30" s="65" t="n">
        <f aca="false">Financing!M12</f>
        <v>666666.72</v>
      </c>
      <c r="N30" s="65" t="n">
        <f aca="false">Financing!N12</f>
        <v>666666.72</v>
      </c>
      <c r="O30" s="65" t="n">
        <f aca="false">Financing!O12</f>
        <v>666666.72</v>
      </c>
      <c r="P30" s="65" t="n">
        <f aca="false">Financing!P12</f>
        <v>666666.72</v>
      </c>
      <c r="Q30" s="65" t="n">
        <f aca="false">Financing!Q12</f>
        <v>666666.72</v>
      </c>
      <c r="R30" s="65" t="n">
        <f aca="false">Financing!R12</f>
        <v>666666.72</v>
      </c>
      <c r="S30" s="65" t="n">
        <f aca="false">Financing!S12</f>
        <v>666666.72</v>
      </c>
      <c r="T30" s="65" t="n">
        <f aca="false">Financing!T12</f>
        <v>666666.72</v>
      </c>
      <c r="U30" s="65" t="n">
        <f aca="false">Financing!U12</f>
        <v>666666.72</v>
      </c>
      <c r="V30" s="65" t="n">
        <f aca="false">Financing!V12</f>
        <v>666666.72</v>
      </c>
      <c r="W30" s="65" t="n">
        <f aca="false">Financing!W12</f>
        <v>666666.72</v>
      </c>
      <c r="X30" s="65" t="n">
        <f aca="false">Financing!X12</f>
        <v>666666.72</v>
      </c>
      <c r="Y30" s="65" t="n">
        <f aca="false">Financing!Y12</f>
        <v>666666.72</v>
      </c>
      <c r="Z30" s="65" t="n">
        <f aca="false">Financing!Z12</f>
        <v>666666.72</v>
      </c>
      <c r="AA30" s="65" t="n">
        <f aca="false">Financing!AA12</f>
        <v>666666.72</v>
      </c>
      <c r="AB30" s="65" t="n">
        <f aca="false">Financing!AB12</f>
        <v>666666.72</v>
      </c>
    </row>
    <row r="31" customFormat="false" ht="15" hidden="false" customHeight="false" outlineLevel="0" collapsed="false">
      <c r="A31" s="28" t="s">
        <v>447</v>
      </c>
      <c r="B31" s="63" t="s">
        <v>80</v>
      </c>
      <c r="C31" s="64" t="n">
        <f aca="false">P31</f>
        <v>1055555.48</v>
      </c>
      <c r="D31" s="64" t="n">
        <f aca="false">AB31</f>
        <v>388888.759999999</v>
      </c>
      <c r="E31" s="65" t="n">
        <f aca="false">Financing!E13</f>
        <v>1333333.28</v>
      </c>
      <c r="F31" s="65" t="n">
        <f aca="false">Financing!F13</f>
        <v>1333333.28</v>
      </c>
      <c r="G31" s="65" t="n">
        <f aca="false">Financing!G13</f>
        <v>1333333.28</v>
      </c>
      <c r="H31" s="65" t="n">
        <f aca="false">Financing!H13</f>
        <v>1333333.28</v>
      </c>
      <c r="I31" s="65" t="n">
        <f aca="false">Financing!I13</f>
        <v>1333333.28</v>
      </c>
      <c r="J31" s="65" t="n">
        <f aca="false">Financing!J13</f>
        <v>1333333.28</v>
      </c>
      <c r="K31" s="65" t="n">
        <f aca="false">Financing!K13</f>
        <v>1333333.28</v>
      </c>
      <c r="L31" s="65" t="n">
        <f aca="false">Financing!L13</f>
        <v>1277777.72</v>
      </c>
      <c r="M31" s="65" t="n">
        <f aca="false">Financing!M13</f>
        <v>1222222.16</v>
      </c>
      <c r="N31" s="65" t="n">
        <f aca="false">Financing!N13</f>
        <v>1166666.6</v>
      </c>
      <c r="O31" s="65" t="n">
        <f aca="false">Financing!O13</f>
        <v>1111111.04</v>
      </c>
      <c r="P31" s="65" t="n">
        <f aca="false">Financing!P13</f>
        <v>1055555.48</v>
      </c>
      <c r="Q31" s="65" t="n">
        <f aca="false">Financing!Q13</f>
        <v>999999.92</v>
      </c>
      <c r="R31" s="65" t="n">
        <f aca="false">Financing!R13</f>
        <v>944444.36</v>
      </c>
      <c r="S31" s="65" t="n">
        <f aca="false">Financing!S13</f>
        <v>888888.8</v>
      </c>
      <c r="T31" s="65" t="n">
        <f aca="false">Financing!T13</f>
        <v>833333.24</v>
      </c>
      <c r="U31" s="65" t="n">
        <f aca="false">Financing!U13</f>
        <v>777777.68</v>
      </c>
      <c r="V31" s="65" t="n">
        <f aca="false">Financing!V13</f>
        <v>722222.119999999</v>
      </c>
      <c r="W31" s="65" t="n">
        <f aca="false">Financing!W13</f>
        <v>666666.559999999</v>
      </c>
      <c r="X31" s="65" t="n">
        <f aca="false">Financing!X13</f>
        <v>611110.999999999</v>
      </c>
      <c r="Y31" s="65" t="n">
        <f aca="false">Financing!Y13</f>
        <v>555555.439999999</v>
      </c>
      <c r="Z31" s="65" t="n">
        <f aca="false">Financing!Z13</f>
        <v>499999.879999999</v>
      </c>
      <c r="AA31" s="65" t="n">
        <f aca="false">Financing!AA13</f>
        <v>444444.319999999</v>
      </c>
      <c r="AB31" s="65" t="n">
        <f aca="false">Financing!AB13</f>
        <v>388888.759999999</v>
      </c>
    </row>
    <row r="32" customFormat="false" ht="15" hidden="false" customHeight="false" outlineLevel="0" collapsed="false">
      <c r="A32" s="59" t="s">
        <v>448</v>
      </c>
      <c r="B32" s="60"/>
      <c r="C32" s="61" t="n">
        <f aca="false">P32</f>
        <v>4322572.98443456</v>
      </c>
      <c r="D32" s="61" t="n">
        <f aca="false">AB32</f>
        <v>4010014.45155181</v>
      </c>
      <c r="E32" s="61" t="n">
        <f aca="false">E18+E19+E20+E21+E22+E23+E24+E25+E26+E27+E28+E29+E30+E31</f>
        <v>4346687.41397467</v>
      </c>
      <c r="F32" s="61" t="n">
        <f aca="false">F18+F19+F20+F21+F22+F23+F24+F25+F26+F27+F28+F29+F30+F31</f>
        <v>4342071.584854</v>
      </c>
      <c r="G32" s="61" t="n">
        <f aca="false">G18+G19+G20+G21+G22+G23+G24+G25+G26+G27+G28+G29+G30+G31</f>
        <v>4753330.03011</v>
      </c>
      <c r="H32" s="61" t="n">
        <f aca="false">H18+H19+H20+H21+H22+H23+H24+H25+H26+H27+H28+H29+H30+H31</f>
        <v>4672221.723437</v>
      </c>
      <c r="I32" s="61" t="n">
        <f aca="false">I18+I19+I20+I21+I22+I23+I24+I25+I26+I27+I28+I29+I30+I31</f>
        <v>4853476.10509167</v>
      </c>
      <c r="J32" s="61" t="n">
        <f aca="false">J18+J19+J20+J21+J22+J23+J24+J25+J26+J27+J28+J29+J30+J31</f>
        <v>4794285.560397</v>
      </c>
      <c r="K32" s="61" t="n">
        <f aca="false">K18+K19+K20+K21+K22+K23+K24+K25+K26+K27+K28+K29+K30+K31</f>
        <v>4570539.44038633</v>
      </c>
      <c r="L32" s="61" t="n">
        <f aca="false">L18+L19+L20+L21+L22+L23+L24+L25+L26+L27+L28+L29+L30+L31</f>
        <v>4447143.803302</v>
      </c>
      <c r="M32" s="61" t="n">
        <f aca="false">M18+M19+M20+M21+M22+M23+M24+M25+M26+M27+M28+M29+M30+M31</f>
        <v>4658118.81044124</v>
      </c>
      <c r="N32" s="61" t="n">
        <f aca="false">N18+N19+N20+N21+N22+N23+N24+N25+N26+N27+N28+N29+N30+N31</f>
        <v>4376730.84125373</v>
      </c>
      <c r="O32" s="61" t="n">
        <f aca="false">O18+O19+O20+O21+O22+O23+O24+O25+O26+O27+O28+O29+O30+O31</f>
        <v>4616056.91533042</v>
      </c>
      <c r="P32" s="61" t="n">
        <f aca="false">P18+P19+P20+P21+P22+P23+P24+P25+P26+P27+P28+P29+P30+P31</f>
        <v>4322572.98443456</v>
      </c>
      <c r="Q32" s="61" t="n">
        <f aca="false">Q18+Q19+Q20+Q21+Q22+Q23+Q24+Q25+Q26+Q27+Q28+Q29+Q30+Q31</f>
        <v>4600384.09772291</v>
      </c>
      <c r="R32" s="61" t="n">
        <f aca="false">R18+R19+R20+R21+R22+R23+R24+R25+R26+R27+R28+R29+R30+R31</f>
        <v>4342769.4129968</v>
      </c>
      <c r="S32" s="61" t="n">
        <f aca="false">S18+S19+S20+S21+S22+S23+S24+S25+S26+S27+S28+S29+S30+S31</f>
        <v>4636010.91178464</v>
      </c>
      <c r="T32" s="61" t="n">
        <f aca="false">T18+T19+T20+T21+T22+T23+T24+T25+T26+T27+T28+T29+T30+T31</f>
        <v>4735128.72484209</v>
      </c>
      <c r="U32" s="61" t="n">
        <f aca="false">U18+U19+U20+U21+U22+U23+U24+U25+U26+U27+U28+U29+U30+U31</f>
        <v>4724768.36278128</v>
      </c>
      <c r="V32" s="61" t="n">
        <f aca="false">V18+V19+V20+V21+V22+V23+V24+V25+V26+V27+V28+V29+V30+V31</f>
        <v>4480843.34818442</v>
      </c>
      <c r="W32" s="61" t="n">
        <f aca="false">W18+W19+W20+W21+W22+W23+W24+W25+W26+W27+W28+W29+W30+W31</f>
        <v>4446170.28190437</v>
      </c>
      <c r="X32" s="61" t="n">
        <f aca="false">X18+X19+X20+X21+X22+X23+X24+X25+X26+X27+X28+X29+X30+X31</f>
        <v>4237682.11690047</v>
      </c>
      <c r="Y32" s="61" t="n">
        <f aca="false">Y18+Y19+Y20+Y21+Y22+Y23+Y24+Y25+Y26+Y27+Y28+Y29+Y30+Y31</f>
        <v>4407111.42269279</v>
      </c>
      <c r="Z32" s="61" t="n">
        <f aca="false">Z18+Z19+Z20+Z21+Z22+Z23+Z24+Z25+Z26+Z27+Z28+Z29+Z30+Z31</f>
        <v>4343285.0760037</v>
      </c>
      <c r="AA32" s="61" t="n">
        <f aca="false">AA18+AA19+AA20+AA21+AA22+AA23+AA24+AA25+AA26+AA27+AA28+AA29+AA30+AA31</f>
        <v>4461248.73246494</v>
      </c>
      <c r="AB32" s="61" t="n">
        <f aca="false">AB18+AB19+AB20+AB21+AB22+AB23+AB24+AB25+AB26+AB27+AB28+AB29+AB30+AB31</f>
        <v>4010014.45155181</v>
      </c>
    </row>
    <row r="33" customFormat="false" ht="15" hidden="false" customHeight="false" outlineLevel="0" collapsed="false">
      <c r="A33" s="22" t="s">
        <v>449</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row>
    <row r="34" customFormat="false" ht="15" hidden="false" customHeight="false" outlineLevel="0" collapsed="false">
      <c r="A34" s="28" t="s">
        <v>450</v>
      </c>
      <c r="B34" s="63" t="s">
        <v>451</v>
      </c>
      <c r="C34" s="64" t="n">
        <f aca="false">P34</f>
        <v>36000</v>
      </c>
      <c r="D34" s="64" t="n">
        <f aca="false">AB34</f>
        <v>36000</v>
      </c>
      <c r="E34" s="65" t="n">
        <f aca="false">Inputs_Actuals!$C$340</f>
        <v>36000</v>
      </c>
      <c r="F34" s="74" t="n">
        <f aca="false">E34</f>
        <v>36000</v>
      </c>
      <c r="G34" s="74" t="n">
        <f aca="false">F34</f>
        <v>36000</v>
      </c>
      <c r="H34" s="74" t="n">
        <f aca="false">G34</f>
        <v>36000</v>
      </c>
      <c r="I34" s="74" t="n">
        <f aca="false">H34</f>
        <v>36000</v>
      </c>
      <c r="J34" s="74" t="n">
        <f aca="false">I34</f>
        <v>36000</v>
      </c>
      <c r="K34" s="74" t="n">
        <f aca="false">J34</f>
        <v>36000</v>
      </c>
      <c r="L34" s="74" t="n">
        <f aca="false">K34</f>
        <v>36000</v>
      </c>
      <c r="M34" s="74" t="n">
        <f aca="false">L34</f>
        <v>36000</v>
      </c>
      <c r="N34" s="74" t="n">
        <f aca="false">M34</f>
        <v>36000</v>
      </c>
      <c r="O34" s="74" t="n">
        <f aca="false">N34</f>
        <v>36000</v>
      </c>
      <c r="P34" s="74" t="n">
        <f aca="false">O34</f>
        <v>36000</v>
      </c>
      <c r="Q34" s="74" t="n">
        <f aca="false">P34</f>
        <v>36000</v>
      </c>
      <c r="R34" s="74" t="n">
        <f aca="false">Q34</f>
        <v>36000</v>
      </c>
      <c r="S34" s="74" t="n">
        <f aca="false">R34</f>
        <v>36000</v>
      </c>
      <c r="T34" s="74" t="n">
        <f aca="false">S34</f>
        <v>36000</v>
      </c>
      <c r="U34" s="74" t="n">
        <f aca="false">T34</f>
        <v>36000</v>
      </c>
      <c r="V34" s="74" t="n">
        <f aca="false">U34</f>
        <v>36000</v>
      </c>
      <c r="W34" s="74" t="n">
        <f aca="false">V34</f>
        <v>36000</v>
      </c>
      <c r="X34" s="74" t="n">
        <f aca="false">W34</f>
        <v>36000</v>
      </c>
      <c r="Y34" s="74" t="n">
        <f aca="false">X34</f>
        <v>36000</v>
      </c>
      <c r="Z34" s="74" t="n">
        <f aca="false">Y34</f>
        <v>36000</v>
      </c>
      <c r="AA34" s="74" t="n">
        <f aca="false">Z34</f>
        <v>36000</v>
      </c>
      <c r="AB34" s="74" t="n">
        <f aca="false">AA34</f>
        <v>36000</v>
      </c>
    </row>
    <row r="35" customFormat="false" ht="15" hidden="false" customHeight="false" outlineLevel="0" collapsed="false">
      <c r="A35" s="28" t="s">
        <v>452</v>
      </c>
      <c r="B35" s="63" t="s">
        <v>451</v>
      </c>
      <c r="C35" s="64" t="n">
        <f aca="false">P35</f>
        <v>10400000</v>
      </c>
      <c r="D35" s="64" t="n">
        <f aca="false">AB35</f>
        <v>10400000</v>
      </c>
      <c r="E35" s="65" t="n">
        <f aca="false">Inputs_Actuals!$C$341</f>
        <v>10400000</v>
      </c>
      <c r="F35" s="74" t="n">
        <f aca="false">E35</f>
        <v>10400000</v>
      </c>
      <c r="G35" s="74" t="n">
        <f aca="false">F35</f>
        <v>10400000</v>
      </c>
      <c r="H35" s="74" t="n">
        <f aca="false">G35</f>
        <v>10400000</v>
      </c>
      <c r="I35" s="74" t="n">
        <f aca="false">H35</f>
        <v>10400000</v>
      </c>
      <c r="J35" s="74" t="n">
        <f aca="false">I35</f>
        <v>10400000</v>
      </c>
      <c r="K35" s="74" t="n">
        <f aca="false">J35</f>
        <v>10400000</v>
      </c>
      <c r="L35" s="74" t="n">
        <f aca="false">K35</f>
        <v>10400000</v>
      </c>
      <c r="M35" s="74" t="n">
        <f aca="false">L35</f>
        <v>10400000</v>
      </c>
      <c r="N35" s="74" t="n">
        <f aca="false">M35</f>
        <v>10400000</v>
      </c>
      <c r="O35" s="74" t="n">
        <f aca="false">N35</f>
        <v>10400000</v>
      </c>
      <c r="P35" s="74" t="n">
        <f aca="false">O35</f>
        <v>10400000</v>
      </c>
      <c r="Q35" s="74" t="n">
        <f aca="false">P35</f>
        <v>10400000</v>
      </c>
      <c r="R35" s="74" t="n">
        <f aca="false">Q35</f>
        <v>10400000</v>
      </c>
      <c r="S35" s="74" t="n">
        <f aca="false">R35</f>
        <v>10400000</v>
      </c>
      <c r="T35" s="74" t="n">
        <f aca="false">S35</f>
        <v>10400000</v>
      </c>
      <c r="U35" s="74" t="n">
        <f aca="false">T35</f>
        <v>10400000</v>
      </c>
      <c r="V35" s="74" t="n">
        <f aca="false">U35</f>
        <v>10400000</v>
      </c>
      <c r="W35" s="74" t="n">
        <f aca="false">V35</f>
        <v>10400000</v>
      </c>
      <c r="X35" s="74" t="n">
        <f aca="false">W35</f>
        <v>10400000</v>
      </c>
      <c r="Y35" s="74" t="n">
        <f aca="false">X35</f>
        <v>10400000</v>
      </c>
      <c r="Z35" s="74" t="n">
        <f aca="false">Y35</f>
        <v>10400000</v>
      </c>
      <c r="AA35" s="74" t="n">
        <f aca="false">Z35</f>
        <v>10400000</v>
      </c>
      <c r="AB35" s="74" t="n">
        <f aca="false">AA35</f>
        <v>10400000</v>
      </c>
    </row>
    <row r="36" customFormat="false" ht="15" hidden="false" customHeight="false" outlineLevel="0" collapsed="false">
      <c r="A36" s="28" t="s">
        <v>453</v>
      </c>
      <c r="B36" s="63"/>
      <c r="E36" s="65" t="n">
        <f aca="false">Inputs_Actuals!$C$342</f>
        <v>-7734147.02</v>
      </c>
      <c r="F36" s="74" t="n">
        <f aca="false">E38</f>
        <v>-7874418.74139864</v>
      </c>
      <c r="G36" s="74" t="n">
        <f aca="false">F38</f>
        <v>-8029898.46067884</v>
      </c>
      <c r="H36" s="74" t="n">
        <f aca="false">G38</f>
        <v>-8196903.70293644</v>
      </c>
      <c r="I36" s="74" t="n">
        <f aca="false">H38</f>
        <v>-8333069.28513871</v>
      </c>
      <c r="J36" s="74" t="n">
        <f aca="false">I38</f>
        <v>-8486552.21743095</v>
      </c>
      <c r="K36" s="74" t="n">
        <f aca="false">J38</f>
        <v>-8632875.54784923</v>
      </c>
      <c r="L36" s="74" t="n">
        <f aca="false">K38</f>
        <v>-8750621.44492393</v>
      </c>
      <c r="M36" s="74" t="n">
        <f aca="false">L38</f>
        <v>-8837952.76040114</v>
      </c>
      <c r="N36" s="74" t="n">
        <f aca="false">M38</f>
        <v>-8933557.89340749</v>
      </c>
      <c r="O36" s="74" t="n">
        <f aca="false">N38</f>
        <v>-9019883.58160017</v>
      </c>
      <c r="P36" s="74" t="n">
        <f aca="false">O38</f>
        <v>-9106501.03725635</v>
      </c>
      <c r="Q36" s="74" t="n">
        <f aca="false">P38</f>
        <v>-9176944.7844793</v>
      </c>
      <c r="R36" s="74" t="n">
        <f aca="false">Q38</f>
        <v>-9328900.16376701</v>
      </c>
      <c r="S36" s="74" t="n">
        <f aca="false">R38</f>
        <v>-9434501.59346862</v>
      </c>
      <c r="T36" s="74" t="n">
        <f aca="false">S38</f>
        <v>-9564786.11061448</v>
      </c>
      <c r="U36" s="74" t="n">
        <f aca="false">T38</f>
        <v>-9660316.9630928</v>
      </c>
      <c r="V36" s="74" t="n">
        <f aca="false">U38</f>
        <v>-9782039.35445476</v>
      </c>
      <c r="W36" s="74" t="n">
        <f aca="false">V38</f>
        <v>-9863039.34192098</v>
      </c>
      <c r="X36" s="74" t="n">
        <f aca="false">W38</f>
        <v>-9936407.57611129</v>
      </c>
      <c r="Y36" s="74" t="n">
        <f aca="false">X38</f>
        <v>-9987332.19731308</v>
      </c>
      <c r="Z36" s="74" t="n">
        <f aca="false">Y38</f>
        <v>-10056784.991431</v>
      </c>
      <c r="AA36" s="74" t="n">
        <f aca="false">Z38</f>
        <v>-10103795.0578618</v>
      </c>
      <c r="AB36" s="74" t="n">
        <f aca="false">AA38</f>
        <v>-10137277.7952606</v>
      </c>
    </row>
    <row r="37" customFormat="false" ht="15" hidden="false" customHeight="false" outlineLevel="0" collapsed="false">
      <c r="A37" s="28" t="s">
        <v>454</v>
      </c>
      <c r="B37" s="63" t="s">
        <v>31</v>
      </c>
      <c r="C37" s="64" t="n">
        <f aca="false">SUM(E37:P37)</f>
        <v>-1442797.7644793</v>
      </c>
      <c r="D37" s="64" t="n">
        <f aca="false">SUM(Q37:AB37)</f>
        <v>-984211.489788988</v>
      </c>
      <c r="E37" s="65" t="n">
        <f aca="false">PL!E50</f>
        <v>-140271.721398643</v>
      </c>
      <c r="F37" s="65" t="n">
        <f aca="false">PL!F50</f>
        <v>-155479.7192802</v>
      </c>
      <c r="G37" s="65" t="n">
        <f aca="false">PL!G50</f>
        <v>-167005.242257596</v>
      </c>
      <c r="H37" s="65" t="n">
        <f aca="false">PL!H50</f>
        <v>-136165.582202276</v>
      </c>
      <c r="I37" s="65" t="n">
        <f aca="false">PL!I50</f>
        <v>-153482.93229223</v>
      </c>
      <c r="J37" s="65" t="n">
        <f aca="false">PL!J50</f>
        <v>-146323.330418288</v>
      </c>
      <c r="K37" s="65" t="n">
        <f aca="false">PL!K50</f>
        <v>-117745.897074694</v>
      </c>
      <c r="L37" s="65" t="n">
        <f aca="false">PL!L50</f>
        <v>-87331.3154772148</v>
      </c>
      <c r="M37" s="65" t="n">
        <f aca="false">PL!M50</f>
        <v>-95605.133006352</v>
      </c>
      <c r="N37" s="65" t="n">
        <f aca="false">PL!N50</f>
        <v>-86325.6881926724</v>
      </c>
      <c r="O37" s="65" t="n">
        <f aca="false">PL!O50</f>
        <v>-86617.4556561846</v>
      </c>
      <c r="P37" s="65" t="n">
        <f aca="false">PL!P50</f>
        <v>-70443.7472229445</v>
      </c>
      <c r="Q37" s="65" t="n">
        <f aca="false">PL!Q50</f>
        <v>-151955.379287712</v>
      </c>
      <c r="R37" s="65" t="n">
        <f aca="false">PL!R50</f>
        <v>-105601.429701614</v>
      </c>
      <c r="S37" s="65" t="n">
        <f aca="false">PL!S50</f>
        <v>-130284.517145856</v>
      </c>
      <c r="T37" s="65" t="n">
        <f aca="false">PL!T50</f>
        <v>-95530.852478328</v>
      </c>
      <c r="U37" s="65" t="n">
        <f aca="false">PL!U50</f>
        <v>-121722.391361955</v>
      </c>
      <c r="V37" s="65" t="n">
        <f aca="false">PL!V50</f>
        <v>-80999.9874662168</v>
      </c>
      <c r="W37" s="65" t="n">
        <f aca="false">PL!W50</f>
        <v>-73368.2341903189</v>
      </c>
      <c r="X37" s="65" t="n">
        <f aca="false">PL!X50</f>
        <v>-50924.6212017888</v>
      </c>
      <c r="Y37" s="65" t="n">
        <f aca="false">PL!Y50</f>
        <v>-69452.7941179462</v>
      </c>
      <c r="Z37" s="65" t="n">
        <f aca="false">PL!Z50</f>
        <v>-47010.06643073</v>
      </c>
      <c r="AA37" s="65" t="n">
        <f aca="false">PL!AA50</f>
        <v>-33482.7373988667</v>
      </c>
      <c r="AB37" s="65" t="n">
        <f aca="false">PL!AB50</f>
        <v>-23878.4790076559</v>
      </c>
    </row>
    <row r="38" customFormat="false" ht="15" hidden="false" customHeight="false" outlineLevel="0" collapsed="false">
      <c r="A38" s="28" t="s">
        <v>455</v>
      </c>
      <c r="B38" s="63"/>
      <c r="C38" s="64" t="n">
        <f aca="false">P38</f>
        <v>-9176944.7844793</v>
      </c>
      <c r="D38" s="64" t="n">
        <f aca="false">AB38</f>
        <v>-10161156.2742683</v>
      </c>
      <c r="E38" s="74" t="n">
        <f aca="false">E36+E37</f>
        <v>-7874418.74139864</v>
      </c>
      <c r="F38" s="74" t="n">
        <f aca="false">F36+F37</f>
        <v>-8029898.46067884</v>
      </c>
      <c r="G38" s="74" t="n">
        <f aca="false">G36+G37</f>
        <v>-8196903.70293644</v>
      </c>
      <c r="H38" s="74" t="n">
        <f aca="false">H36+H37</f>
        <v>-8333069.28513871</v>
      </c>
      <c r="I38" s="74" t="n">
        <f aca="false">I36+I37</f>
        <v>-8486552.21743095</v>
      </c>
      <c r="J38" s="74" t="n">
        <f aca="false">J36+J37</f>
        <v>-8632875.54784923</v>
      </c>
      <c r="K38" s="74" t="n">
        <f aca="false">K36+K37</f>
        <v>-8750621.44492393</v>
      </c>
      <c r="L38" s="74" t="n">
        <f aca="false">L36+L37</f>
        <v>-8837952.76040114</v>
      </c>
      <c r="M38" s="74" t="n">
        <f aca="false">M36+M37</f>
        <v>-8933557.89340749</v>
      </c>
      <c r="N38" s="74" t="n">
        <f aca="false">N36+N37</f>
        <v>-9019883.58160017</v>
      </c>
      <c r="O38" s="74" t="n">
        <f aca="false">O36+O37</f>
        <v>-9106501.03725635</v>
      </c>
      <c r="P38" s="74" t="n">
        <f aca="false">P36+P37</f>
        <v>-9176944.7844793</v>
      </c>
      <c r="Q38" s="74" t="n">
        <f aca="false">Q36+Q37</f>
        <v>-9328900.16376701</v>
      </c>
      <c r="R38" s="74" t="n">
        <f aca="false">R36+R37</f>
        <v>-9434501.59346862</v>
      </c>
      <c r="S38" s="74" t="n">
        <f aca="false">S36+S37</f>
        <v>-9564786.11061448</v>
      </c>
      <c r="T38" s="74" t="n">
        <f aca="false">T36+T37</f>
        <v>-9660316.9630928</v>
      </c>
      <c r="U38" s="74" t="n">
        <f aca="false">U36+U37</f>
        <v>-9782039.35445476</v>
      </c>
      <c r="V38" s="74" t="n">
        <f aca="false">V36+V37</f>
        <v>-9863039.34192098</v>
      </c>
      <c r="W38" s="74" t="n">
        <f aca="false">W36+W37</f>
        <v>-9936407.57611129</v>
      </c>
      <c r="X38" s="74" t="n">
        <f aca="false">X36+X37</f>
        <v>-9987332.19731308</v>
      </c>
      <c r="Y38" s="74" t="n">
        <f aca="false">Y36+Y37</f>
        <v>-10056784.991431</v>
      </c>
      <c r="Z38" s="74" t="n">
        <f aca="false">Z36+Z37</f>
        <v>-10103795.0578618</v>
      </c>
      <c r="AA38" s="74" t="n">
        <f aca="false">AA36+AA37</f>
        <v>-10137277.7952606</v>
      </c>
      <c r="AB38" s="74" t="n">
        <f aca="false">AB36+AB37</f>
        <v>-10161156.2742683</v>
      </c>
    </row>
    <row r="39" customFormat="false" ht="15" hidden="false" customHeight="false" outlineLevel="0" collapsed="false">
      <c r="A39" s="59" t="s">
        <v>456</v>
      </c>
      <c r="B39" s="60"/>
      <c r="C39" s="61" t="n">
        <f aca="false">P39</f>
        <v>1259055.2155207</v>
      </c>
      <c r="D39" s="61" t="n">
        <f aca="false">AB39</f>
        <v>274843.725731717</v>
      </c>
      <c r="E39" s="61" t="n">
        <f aca="false">E34+E35+E38</f>
        <v>2561581.25860136</v>
      </c>
      <c r="F39" s="61" t="n">
        <f aca="false">F34+F35+F38</f>
        <v>2406101.53932116</v>
      </c>
      <c r="G39" s="61" t="n">
        <f aca="false">G34+G35+G38</f>
        <v>2239096.29706356</v>
      </c>
      <c r="H39" s="61" t="n">
        <f aca="false">H34+H35+H38</f>
        <v>2102930.71486129</v>
      </c>
      <c r="I39" s="61" t="n">
        <f aca="false">I34+I35+I38</f>
        <v>1949447.78256905</v>
      </c>
      <c r="J39" s="61" t="n">
        <f aca="false">J34+J35+J38</f>
        <v>1803124.45215077</v>
      </c>
      <c r="K39" s="61" t="n">
        <f aca="false">K34+K35+K38</f>
        <v>1685378.55507607</v>
      </c>
      <c r="L39" s="61" t="n">
        <f aca="false">L34+L35+L38</f>
        <v>1598047.23959886</v>
      </c>
      <c r="M39" s="61" t="n">
        <f aca="false">M34+M35+M38</f>
        <v>1502442.10659251</v>
      </c>
      <c r="N39" s="61" t="n">
        <f aca="false">N34+N35+N38</f>
        <v>1416116.41839983</v>
      </c>
      <c r="O39" s="61" t="n">
        <f aca="false">O34+O35+O38</f>
        <v>1329498.96274365</v>
      </c>
      <c r="P39" s="61" t="n">
        <f aca="false">P34+P35+P38</f>
        <v>1259055.2155207</v>
      </c>
      <c r="Q39" s="61" t="n">
        <f aca="false">Q34+Q35+Q38</f>
        <v>1107099.83623299</v>
      </c>
      <c r="R39" s="61" t="n">
        <f aca="false">R34+R35+R38</f>
        <v>1001498.40653138</v>
      </c>
      <c r="S39" s="61" t="n">
        <f aca="false">S34+S35+S38</f>
        <v>871213.889385523</v>
      </c>
      <c r="T39" s="61" t="n">
        <f aca="false">T34+T35+T38</f>
        <v>775683.036907196</v>
      </c>
      <c r="U39" s="61" t="n">
        <f aca="false">U34+U35+U38</f>
        <v>653960.645545241</v>
      </c>
      <c r="V39" s="61" t="n">
        <f aca="false">V34+V35+V38</f>
        <v>572960.658079024</v>
      </c>
      <c r="W39" s="61" t="n">
        <f aca="false">W34+W35+W38</f>
        <v>499592.423888706</v>
      </c>
      <c r="X39" s="61" t="n">
        <f aca="false">X34+X35+X38</f>
        <v>448667.802686917</v>
      </c>
      <c r="Y39" s="61" t="n">
        <f aca="false">Y34+Y35+Y38</f>
        <v>379215.008568971</v>
      </c>
      <c r="Z39" s="61" t="n">
        <f aca="false">Z34+Z35+Z38</f>
        <v>332204.94213824</v>
      </c>
      <c r="AA39" s="61" t="n">
        <f aca="false">AA34+AA35+AA38</f>
        <v>298722.204739373</v>
      </c>
      <c r="AB39" s="61" t="n">
        <f aca="false">AB34+AB35+AB38</f>
        <v>274843.725731717</v>
      </c>
    </row>
    <row r="40" customFormat="false" ht="15" hidden="false" customHeight="false" outlineLevel="0" collapsed="false">
      <c r="A40" s="59" t="s">
        <v>457</v>
      </c>
      <c r="B40" s="60"/>
      <c r="C40" s="61" t="n">
        <f aca="false">P40</f>
        <v>5581628.19995526</v>
      </c>
      <c r="D40" s="61" t="n">
        <f aca="false">AB40</f>
        <v>4284858.17728353</v>
      </c>
      <c r="E40" s="61" t="n">
        <f aca="false">E32+E39</f>
        <v>6908268.67257603</v>
      </c>
      <c r="F40" s="61" t="n">
        <f aca="false">F32+F39</f>
        <v>6748173.12417516</v>
      </c>
      <c r="G40" s="61" t="n">
        <f aca="false">G32+G39</f>
        <v>6992426.32717356</v>
      </c>
      <c r="H40" s="61" t="n">
        <f aca="false">H32+H39</f>
        <v>6775152.43829829</v>
      </c>
      <c r="I40" s="61" t="n">
        <f aca="false">I32+I39</f>
        <v>6802923.88766072</v>
      </c>
      <c r="J40" s="61" t="n">
        <f aca="false">J32+J39</f>
        <v>6597410.01254777</v>
      </c>
      <c r="K40" s="61" t="n">
        <f aca="false">K32+K39</f>
        <v>6255917.99546241</v>
      </c>
      <c r="L40" s="61" t="n">
        <f aca="false">L32+L39</f>
        <v>6045191.04290086</v>
      </c>
      <c r="M40" s="61" t="n">
        <f aca="false">M32+M39</f>
        <v>6160560.91703374</v>
      </c>
      <c r="N40" s="61" t="n">
        <f aca="false">N32+N39</f>
        <v>5792847.25965356</v>
      </c>
      <c r="O40" s="61" t="n">
        <f aca="false">O32+O39</f>
        <v>5945555.87807407</v>
      </c>
      <c r="P40" s="61" t="n">
        <f aca="false">P32+P39</f>
        <v>5581628.19995526</v>
      </c>
      <c r="Q40" s="61" t="n">
        <f aca="false">Q32+Q39</f>
        <v>5707483.9339559</v>
      </c>
      <c r="R40" s="61" t="n">
        <f aca="false">R32+R39</f>
        <v>5344267.81952818</v>
      </c>
      <c r="S40" s="61" t="n">
        <f aca="false">S32+S39</f>
        <v>5507224.80117017</v>
      </c>
      <c r="T40" s="61" t="n">
        <f aca="false">T32+T39</f>
        <v>5510811.76174928</v>
      </c>
      <c r="U40" s="61" t="n">
        <f aca="false">U32+U39</f>
        <v>5378729.00832652</v>
      </c>
      <c r="V40" s="61" t="n">
        <f aca="false">V32+V39</f>
        <v>5053804.00626344</v>
      </c>
      <c r="W40" s="61" t="n">
        <f aca="false">W32+W39</f>
        <v>4945762.70579308</v>
      </c>
      <c r="X40" s="61" t="n">
        <f aca="false">X32+X39</f>
        <v>4686349.91958738</v>
      </c>
      <c r="Y40" s="61" t="n">
        <f aca="false">Y32+Y39</f>
        <v>4786326.43126176</v>
      </c>
      <c r="Z40" s="61" t="n">
        <f aca="false">Z32+Z39</f>
        <v>4675490.01814194</v>
      </c>
      <c r="AA40" s="61" t="n">
        <f aca="false">AA32+AA39</f>
        <v>4759970.93720431</v>
      </c>
      <c r="AB40" s="61" t="n">
        <f aca="false">AB32+AB39</f>
        <v>4284858.17728353</v>
      </c>
    </row>
    <row r="41" customFormat="false" ht="15" hidden="false" customHeight="false" outlineLevel="0" collapsed="false">
      <c r="A41" s="59" t="s">
        <v>458</v>
      </c>
      <c r="B41" s="60"/>
      <c r="C41" s="61" t="n">
        <f aca="false">P41</f>
        <v>0</v>
      </c>
      <c r="D41" s="61" t="n">
        <f aca="false">AB41</f>
        <v>0</v>
      </c>
      <c r="E41" s="61" t="n">
        <f aca="false">ROUND(E16-E40,2)</f>
        <v>0</v>
      </c>
      <c r="F41" s="61" t="n">
        <f aca="false">ROUND(F16-F40,2)</f>
        <v>0</v>
      </c>
      <c r="G41" s="61" t="n">
        <f aca="false">ROUND(G16-G40,2)</f>
        <v>0</v>
      </c>
      <c r="H41" s="61" t="n">
        <f aca="false">ROUND(H16-H40,2)</f>
        <v>0</v>
      </c>
      <c r="I41" s="61" t="n">
        <f aca="false">ROUND(I16-I40,2)</f>
        <v>0</v>
      </c>
      <c r="J41" s="61" t="n">
        <f aca="false">ROUND(J16-J40,2)</f>
        <v>0</v>
      </c>
      <c r="K41" s="61" t="n">
        <f aca="false">ROUND(K16-K40,2)</f>
        <v>0</v>
      </c>
      <c r="L41" s="61" t="n">
        <f aca="false">ROUND(L16-L40,2)</f>
        <v>0</v>
      </c>
      <c r="M41" s="61" t="n">
        <f aca="false">ROUND(M16-M40,2)</f>
        <v>0</v>
      </c>
      <c r="N41" s="61" t="n">
        <f aca="false">ROUND(N16-N40,2)</f>
        <v>0</v>
      </c>
      <c r="O41" s="61" t="n">
        <f aca="false">ROUND(O16-O40,2)</f>
        <v>0</v>
      </c>
      <c r="P41" s="61" t="n">
        <f aca="false">ROUND(P16-P40,2)</f>
        <v>0</v>
      </c>
      <c r="Q41" s="61" t="n">
        <f aca="false">ROUND(Q16-Q40,2)</f>
        <v>0</v>
      </c>
      <c r="R41" s="61" t="n">
        <f aca="false">ROUND(R16-R40,2)</f>
        <v>0</v>
      </c>
      <c r="S41" s="61" t="n">
        <f aca="false">ROUND(S16-S40,2)</f>
        <v>0</v>
      </c>
      <c r="T41" s="61" t="n">
        <f aca="false">ROUND(T16-T40,2)</f>
        <v>0</v>
      </c>
      <c r="U41" s="61" t="n">
        <f aca="false">ROUND(U16-U40,2)</f>
        <v>0</v>
      </c>
      <c r="V41" s="61" t="n">
        <f aca="false">ROUND(V16-V40,2)</f>
        <v>0</v>
      </c>
      <c r="W41" s="61" t="n">
        <f aca="false">ROUND(W16-W40,2)</f>
        <v>0</v>
      </c>
      <c r="X41" s="61" t="n">
        <f aca="false">ROUND(X16-X40,2)</f>
        <v>0</v>
      </c>
      <c r="Y41" s="61" t="n">
        <f aca="false">ROUND(Y16-Y40,2)</f>
        <v>0</v>
      </c>
      <c r="Z41" s="61" t="n">
        <f aca="false">ROUND(Z16-Z40,2)</f>
        <v>0</v>
      </c>
      <c r="AA41" s="61" t="n">
        <f aca="false">ROUND(AA16-AA40,2)</f>
        <v>0</v>
      </c>
      <c r="AB41" s="61" t="n">
        <f aca="false">ROUND(AB16-AB40,2)</f>
        <v>0</v>
      </c>
    </row>
    <row r="42" customFormat="false" ht="15" hidden="false" customHeight="false" outlineLevel="0" collapsed="false">
      <c r="A42" s="22" t="s">
        <v>459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customFormat="false" ht="15" hidden="false" customHeight="false" outlineLevel="0" collapsed="false">
      <c r="A43" s="28" t="s">
        <v>460</v>
      </c>
      <c r="B43" s="63"/>
      <c r="C43" s="64" t="n">
        <f aca="false">P43</f>
        <v>1900824.07114503</v>
      </c>
      <c r="D43" s="64" t="n">
        <f aca="false">AB43</f>
        <v>2425685.65025804</v>
      </c>
      <c r="E43" s="74" t="n">
        <f aca="false">E21+E22</f>
        <v>1844226.46666667</v>
      </c>
      <c r="F43" s="74" t="n">
        <f aca="false">F21+F22</f>
        <v>1700961.44</v>
      </c>
      <c r="G43" s="74" t="n">
        <f aca="false">G21+G22</f>
        <v>1902384.6</v>
      </c>
      <c r="H43" s="74" t="n">
        <f aca="false">H21+H22</f>
        <v>2036736.93</v>
      </c>
      <c r="I43" s="74" t="n">
        <f aca="false">I21+I22</f>
        <v>2056238.20666667</v>
      </c>
      <c r="J43" s="74" t="n">
        <f aca="false">J21+J22</f>
        <v>2065941.72</v>
      </c>
      <c r="K43" s="74" t="n">
        <f aca="false">K21+K22</f>
        <v>2113131.20333333</v>
      </c>
      <c r="L43" s="74" t="n">
        <f aca="false">L21+L22</f>
        <v>1925978.65</v>
      </c>
      <c r="M43" s="74" t="n">
        <f aca="false">M21+M22</f>
        <v>2017997.50337812</v>
      </c>
      <c r="N43" s="74" t="n">
        <f aca="false">N21+N22</f>
        <v>1942844.49118093</v>
      </c>
      <c r="O43" s="74" t="n">
        <f aca="false">O21+O22</f>
        <v>2044117.40806446</v>
      </c>
      <c r="P43" s="74" t="n">
        <f aca="false">P21+P22</f>
        <v>1900824.07114503</v>
      </c>
      <c r="Q43" s="74" t="n">
        <f aca="false">Q21+Q22</f>
        <v>2317658.8971608</v>
      </c>
      <c r="R43" s="74" t="n">
        <f aca="false">R21+R22</f>
        <v>2182661.76573625</v>
      </c>
      <c r="S43" s="74" t="n">
        <f aca="false">S21+S22</f>
        <v>2389274.30548778</v>
      </c>
      <c r="T43" s="74" t="n">
        <f aca="false">T21+T22</f>
        <v>2518952.74224886</v>
      </c>
      <c r="U43" s="74" t="n">
        <f aca="false">U21+U22</f>
        <v>2510595.09985648</v>
      </c>
      <c r="V43" s="74" t="n">
        <f aca="false">V21+V22</f>
        <v>2537156.99906281</v>
      </c>
      <c r="W43" s="74" t="n">
        <f aca="false">W21+W22</f>
        <v>2591016.50022324</v>
      </c>
      <c r="X43" s="74" t="n">
        <f aca="false">X21+X22</f>
        <v>2402776.09178593</v>
      </c>
      <c r="Y43" s="74" t="n">
        <f aca="false">Y21+Y22</f>
        <v>2518698.89268713</v>
      </c>
      <c r="Z43" s="74" t="n">
        <f aca="false">Z21+Z22</f>
        <v>2462623.29758437</v>
      </c>
      <c r="AA43" s="74" t="n">
        <f aca="false">AA21+AA22</f>
        <v>2570320.70084983</v>
      </c>
      <c r="AB43" s="74" t="n">
        <f aca="false">AB21+AB22</f>
        <v>2425685.65025804</v>
      </c>
    </row>
    <row r="44" customFormat="false" ht="15" hidden="false" customHeight="false" outlineLevel="0" collapsed="false">
      <c r="A44" s="28" t="s">
        <v>461</v>
      </c>
      <c r="B44" s="63"/>
      <c r="C44" s="64" t="n">
        <f aca="false">P44</f>
        <v>-2057980.42320263</v>
      </c>
      <c r="D44" s="64" t="n">
        <f aca="false">AB44</f>
        <v>-2267794.82048884</v>
      </c>
      <c r="E44" s="74" t="n">
        <f aca="false">E10+E11+E12-(E18+E19+E20+E21+E22+E23+E24+E25+E26+E27+E28+E29)</f>
        <v>-1466562.15175364</v>
      </c>
      <c r="F44" s="74" t="n">
        <f aca="false">F10+F11+F12-(F18+F19+F20+F21+F22+F23+F24+F25+F26+F27+F28+F29)</f>
        <v>-1778495.03458034</v>
      </c>
      <c r="G44" s="74" t="n">
        <f aca="false">G10+G11+G12-(G18+G19+G20+G21+G22+G23+G24+G25+G26+G27+G28+G29)</f>
        <v>-2097996.5839539</v>
      </c>
      <c r="H44" s="74" t="n">
        <f aca="false">H10+H11+H12-(H18+H19+H20+H21+H22+H23+H24+H25+H26+H27+H28+H29)</f>
        <v>-1847827.74597521</v>
      </c>
      <c r="I44" s="74" t="n">
        <f aca="false">I10+I11+I12-(I18+I19+I20+I21+I22+I23+I24+I25+I26+I27+I28+I29)</f>
        <v>-2193459.57940667</v>
      </c>
      <c r="J44" s="74" t="n">
        <f aca="false">J10+J11+J12-(J18+J19+J20+J21+J22+J23+J24+J25+J26+J27+J28+J29)</f>
        <v>-2200947.64555972</v>
      </c>
      <c r="K44" s="74" t="n">
        <f aca="false">K10+K11+K12-(K18+K19+K20+K21+K22+K23+K24+K25+K26+K27+K28+K29)</f>
        <v>-1912090.61583052</v>
      </c>
      <c r="L44" s="74" t="n">
        <f aca="false">L10+L11+L12-(L18+L19+L20+L21+L22+L23+L24+L25+L26+L27+L28+L29)</f>
        <v>-2068273.9682235</v>
      </c>
      <c r="M44" s="74" t="n">
        <f aca="false">M10+M11+M12-(M18+M19+M20+M21+M22+M23+M24+M25+M26+M27+M28+M29)</f>
        <v>-2142660.39638348</v>
      </c>
      <c r="N44" s="74" t="n">
        <f aca="false">N10+N11+N12-(N18+N19+N20+N21+N22+N23+N24+N25+N26+N27+N28+N29)</f>
        <v>-1957062.18930303</v>
      </c>
      <c r="O44" s="74" t="n">
        <f aca="false">O10+O11+O12-(O18+O19+O20+O21+O22+O23+O24+O25+O26+O27+O28+O29)</f>
        <v>-2151599.47221298</v>
      </c>
      <c r="P44" s="74" t="n">
        <f aca="false">P10+P11+P12-(P18+P19+P20+P21+P22+P23+P24+P25+P26+P27+P28+P29)</f>
        <v>-2057980.42320263</v>
      </c>
      <c r="Q44" s="74" t="n">
        <f aca="false">Q10+Q11+Q12-(Q18+Q19+Q20+Q21+Q22+Q23+Q24+Q25+Q26+Q27+Q28+Q29)</f>
        <v>-1909748.21937198</v>
      </c>
      <c r="R44" s="74" t="n">
        <f aca="false">R10+R11+R12-(R18+R19+R20+R21+R22+R23+R24+R25+R26+R27+R28+R29)</f>
        <v>-2033439.02154301</v>
      </c>
      <c r="S44" s="74" t="n">
        <f aca="false">S10+S11+S12-(S18+S19+S20+S21+S22+S23+S24+S25+S26+S27+S28+S29)</f>
        <v>-2279469.02379671</v>
      </c>
      <c r="T44" s="74" t="n">
        <f aca="false">T10+T11+T12-(T18+T19+T20+T21+T22+T23+T24+T25+T26+T27+T28+T29)</f>
        <v>-2279424.89103471</v>
      </c>
      <c r="U44" s="74" t="n">
        <f aca="false">U10+U11+U12-(U18+U19+U20+U21+U22+U23+U24+U25+U26+U27+U28+U29)</f>
        <v>-2539121.32864155</v>
      </c>
      <c r="V44" s="74" t="n">
        <f aca="false">V10+V11+V12-(V18+V19+V20+V21+V22+V23+V24+V25+V26+V27+V28+V29)</f>
        <v>-2375776.27969712</v>
      </c>
      <c r="W44" s="74" t="n">
        <f aca="false">W10+W11+W12-(W18+W19+W20+W21+W22+W23+W24+W25+W26+W27+W28+W29)</f>
        <v>-2325700.93427274</v>
      </c>
      <c r="X44" s="74" t="n">
        <f aca="false">X10+X11+X12-(X18+X19+X20+X21+X22+X23+X24+X25+X26+X27+X28+X29)</f>
        <v>-2450902.35752214</v>
      </c>
      <c r="Y44" s="74" t="n">
        <f aca="false">Y10+Y11+Y12-(Y18+Y19+Y20+Y21+Y22+Y23+Y24+Y25+Y26+Y27+Y28+Y29)</f>
        <v>-2446349.7237712</v>
      </c>
      <c r="Z44" s="74" t="n">
        <f aca="false">Z10+Z11+Z12-(Z18+Z19+Z20+Z21+Z22+Z23+Z24+Z25+Z26+Z27+Z28+Z29)</f>
        <v>-2412941.18078171</v>
      </c>
      <c r="AA44" s="74" t="n">
        <f aca="false">AA10+AA11+AA12-(AA18+AA19+AA20+AA21+AA22+AA23+AA24+AA25+AA26+AA27+AA28+AA29)</f>
        <v>-2502689.25488478</v>
      </c>
      <c r="AB44" s="74" t="n">
        <f aca="false">AB10+AB11+AB12-(AB18+AB19+AB20+AB21+AB22+AB23+AB24+AB25+AB26+AB27+AB28+AB29)</f>
        <v>-2267794.82048884</v>
      </c>
    </row>
    <row r="45" customFormat="false" ht="15" hidden="false" customHeight="false" outlineLevel="0" collapsed="false">
      <c r="A45" s="28" t="s">
        <v>462</v>
      </c>
      <c r="B45" s="63"/>
      <c r="C45" s="64" t="n">
        <f aca="false">P45</f>
        <v>1972868.28338292</v>
      </c>
      <c r="D45" s="64" t="n">
        <f aca="false">AB45</f>
        <v>985735.283374611</v>
      </c>
      <c r="E45" s="74" t="n">
        <f aca="false">E9-E30-E31</f>
        <v>2852248.1816</v>
      </c>
      <c r="F45" s="74" t="n">
        <f aca="false">F9-F30-F31</f>
        <v>2995217.72625</v>
      </c>
      <c r="G45" s="74" t="n">
        <f aca="false">G9-G30-G31</f>
        <v>3127022.9542</v>
      </c>
      <c r="H45" s="74" t="n">
        <f aca="false">H9-H30-H31</f>
        <v>2707127.2234</v>
      </c>
      <c r="I45" s="74" t="n">
        <f aca="false">I9-I30-I31</f>
        <v>2886441.5383</v>
      </c>
      <c r="J45" s="74" t="n">
        <f aca="false">J9-J30-J31</f>
        <v>2735039.50395</v>
      </c>
      <c r="K45" s="74" t="n">
        <f aca="false">K9-K30-K31</f>
        <v>2308764.706</v>
      </c>
      <c r="L45" s="74" t="n">
        <f aca="false">L9-L30-L31</f>
        <v>2369772.2001</v>
      </c>
      <c r="M45" s="74" t="n">
        <f aca="false">M9-M30-M31</f>
        <v>2338182.78234184</v>
      </c>
      <c r="N45" s="74" t="n">
        <f aca="false">N9-N30-N31</f>
        <v>2057609.77508614</v>
      </c>
      <c r="O45" s="74" t="n">
        <f aca="false">O9-O30-O31</f>
        <v>2148991.09566784</v>
      </c>
      <c r="P45" s="74" t="n">
        <f aca="false">P9-P30-P31</f>
        <v>1972868.28338292</v>
      </c>
      <c r="Q45" s="74" t="n">
        <f aca="false">Q9-Q30-Q31</f>
        <v>1638620.73684197</v>
      </c>
      <c r="R45" s="74" t="n">
        <f aca="false">R9-R30-R31</f>
        <v>1640143.70257675</v>
      </c>
      <c r="S45" s="74" t="n">
        <f aca="false">S9-S30-S31</f>
        <v>1735026.74839432</v>
      </c>
      <c r="T45" s="74" t="n">
        <f aca="false">T9-T30-T31</f>
        <v>1620538.63672397</v>
      </c>
      <c r="U45" s="74" t="n">
        <f aca="false">U9-U30-U31</f>
        <v>1743860.16351528</v>
      </c>
      <c r="V45" s="74" t="n">
        <f aca="false">V9-V30-V31</f>
        <v>1484195.34723816</v>
      </c>
      <c r="W45" s="74" t="n">
        <f aca="false">W9-W30-W31</f>
        <v>1346956.48338965</v>
      </c>
      <c r="X45" s="74" t="n">
        <f aca="false">X9-X30-X31</f>
        <v>1410005.50894887</v>
      </c>
      <c r="Y45" s="74" t="n">
        <f aca="false">Y9-Y30-Y31</f>
        <v>1316108.58839547</v>
      </c>
      <c r="Z45" s="74" t="n">
        <f aca="false">Z9-Z30-Z31</f>
        <v>1220528.62314706</v>
      </c>
      <c r="AA45" s="74" t="n">
        <f aca="false">AA9-AA30-AA31</f>
        <v>1259235.52512129</v>
      </c>
      <c r="AB45" s="74" t="n">
        <f aca="false">AB9-AB30-AB31</f>
        <v>985735.283374611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463</v>
      </c>
    </row>
    <row r="3" customFormat="false" ht="15" hidden="false" customHeight="false" outlineLevel="0" collapsed="false">
      <c r="A3" s="50" t="s">
        <v>464</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465</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466</v>
      </c>
      <c r="B9" s="63" t="s">
        <v>31</v>
      </c>
      <c r="C9" s="64" t="n">
        <f aca="false">SUM(E9:P9)</f>
        <v>-1442797.7644793</v>
      </c>
      <c r="D9" s="64" t="n">
        <f aca="false">SUM(Q9:AB9)</f>
        <v>-984211.489788988</v>
      </c>
      <c r="E9" s="65" t="n">
        <f aca="false">PL!E50</f>
        <v>-140271.721398643</v>
      </c>
      <c r="F9" s="65" t="n">
        <f aca="false">PL!F50</f>
        <v>-155479.7192802</v>
      </c>
      <c r="G9" s="65" t="n">
        <f aca="false">PL!G50</f>
        <v>-167005.242257596</v>
      </c>
      <c r="H9" s="65" t="n">
        <f aca="false">PL!H50</f>
        <v>-136165.582202276</v>
      </c>
      <c r="I9" s="65" t="n">
        <f aca="false">PL!I50</f>
        <v>-153482.93229223</v>
      </c>
      <c r="J9" s="65" t="n">
        <f aca="false">PL!J50</f>
        <v>-146323.330418288</v>
      </c>
      <c r="K9" s="65" t="n">
        <f aca="false">PL!K50</f>
        <v>-117745.897074694</v>
      </c>
      <c r="L9" s="65" t="n">
        <f aca="false">PL!L50</f>
        <v>-87331.3154772148</v>
      </c>
      <c r="M9" s="65" t="n">
        <f aca="false">PL!M50</f>
        <v>-95605.133006352</v>
      </c>
      <c r="N9" s="65" t="n">
        <f aca="false">PL!N50</f>
        <v>-86325.6881926724</v>
      </c>
      <c r="O9" s="65" t="n">
        <f aca="false">PL!O50</f>
        <v>-86617.4556561846</v>
      </c>
      <c r="P9" s="65" t="n">
        <f aca="false">PL!P50</f>
        <v>-70443.7472229445</v>
      </c>
      <c r="Q9" s="65" t="n">
        <f aca="false">PL!Q50</f>
        <v>-151955.379287712</v>
      </c>
      <c r="R9" s="65" t="n">
        <f aca="false">PL!R50</f>
        <v>-105601.429701614</v>
      </c>
      <c r="S9" s="65" t="n">
        <f aca="false">PL!S50</f>
        <v>-130284.517145856</v>
      </c>
      <c r="T9" s="65" t="n">
        <f aca="false">PL!T50</f>
        <v>-95530.852478328</v>
      </c>
      <c r="U9" s="65" t="n">
        <f aca="false">PL!U50</f>
        <v>-121722.391361955</v>
      </c>
      <c r="V9" s="65" t="n">
        <f aca="false">PL!V50</f>
        <v>-80999.9874662168</v>
      </c>
      <c r="W9" s="65" t="n">
        <f aca="false">PL!W50</f>
        <v>-73368.2341903189</v>
      </c>
      <c r="X9" s="65" t="n">
        <f aca="false">PL!X50</f>
        <v>-50924.6212017888</v>
      </c>
      <c r="Y9" s="65" t="n">
        <f aca="false">PL!Y50</f>
        <v>-69452.7941179462</v>
      </c>
      <c r="Z9" s="65" t="n">
        <f aca="false">PL!Z50</f>
        <v>-47010.06643073</v>
      </c>
      <c r="AA9" s="65" t="n">
        <f aca="false">PL!AA50</f>
        <v>-33482.7373988667</v>
      </c>
      <c r="AB9" s="65" t="n">
        <f aca="false">PL!AB50</f>
        <v>-23878.4790076559</v>
      </c>
    </row>
    <row r="10" customFormat="false" ht="15" hidden="false" customHeight="false" outlineLevel="0" collapsed="false">
      <c r="A10" s="28" t="s">
        <v>467</v>
      </c>
      <c r="B10" s="63"/>
      <c r="C10" s="64" t="n">
        <f aca="false">SUM(E10:P10)</f>
        <v>493513.959845941</v>
      </c>
      <c r="D10" s="64" t="n">
        <f aca="false">SUM(Q10:AB10)</f>
        <v>604857.241403368</v>
      </c>
      <c r="E10" s="65" t="n">
        <f aca="false">-PL!E44</f>
        <v>37155.56</v>
      </c>
      <c r="F10" s="65" t="n">
        <f aca="false">-PL!F44</f>
        <v>37709.1233333333</v>
      </c>
      <c r="G10" s="65" t="n">
        <f aca="false">-PL!G44</f>
        <v>38407.4422222222</v>
      </c>
      <c r="H10" s="65" t="n">
        <f aca="false">-PL!H44</f>
        <v>39130.3855555556</v>
      </c>
      <c r="I10" s="65" t="n">
        <f aca="false">-PL!I44</f>
        <v>39874.005</v>
      </c>
      <c r="J10" s="65" t="n">
        <f aca="false">-PL!J44</f>
        <v>40642.9077777778</v>
      </c>
      <c r="K10" s="65" t="n">
        <f aca="false">-PL!K44</f>
        <v>41463.6419444445</v>
      </c>
      <c r="L10" s="65" t="n">
        <f aca="false">-PL!L44</f>
        <v>42284.4055555556</v>
      </c>
      <c r="M10" s="65" t="n">
        <f aca="false">-PL!M44</f>
        <v>43042.5388888889</v>
      </c>
      <c r="N10" s="65" t="n">
        <f aca="false">-PL!N44</f>
        <v>43818.0705859136</v>
      </c>
      <c r="O10" s="65" t="n">
        <f aca="false">-PL!O44</f>
        <v>44572.8955659681</v>
      </c>
      <c r="P10" s="65" t="n">
        <f aca="false">-PL!P44</f>
        <v>45412.9834162817</v>
      </c>
      <c r="Q10" s="65" t="n">
        <f aca="false">-PL!Q44</f>
        <v>46216.5206050625</v>
      </c>
      <c r="R10" s="65" t="n">
        <f aca="false">-PL!R44</f>
        <v>46915.4439294808</v>
      </c>
      <c r="S10" s="65" t="n">
        <f aca="false">-PL!S44</f>
        <v>47599.5635866159</v>
      </c>
      <c r="T10" s="65" t="n">
        <f aca="false">-PL!T44</f>
        <v>48395.017463467</v>
      </c>
      <c r="U10" s="65" t="n">
        <f aca="false">-PL!U44</f>
        <v>49233.1392214605</v>
      </c>
      <c r="V10" s="65" t="n">
        <f aca="false">-PL!V44</f>
        <v>50021.5306584453</v>
      </c>
      <c r="W10" s="65" t="n">
        <f aca="false">-PL!W44</f>
        <v>50822.9000198289</v>
      </c>
      <c r="X10" s="65" t="n">
        <f aca="false">-PL!X44</f>
        <v>51497.5681051785</v>
      </c>
      <c r="Y10" s="65" t="n">
        <f aca="false">-PL!Y44</f>
        <v>52207.2705240445</v>
      </c>
      <c r="Z10" s="65" t="n">
        <f aca="false">-PL!Z44</f>
        <v>53114.7361390024</v>
      </c>
      <c r="AA10" s="65" t="n">
        <f aca="false">-PL!AA44</f>
        <v>53976.4231786642</v>
      </c>
      <c r="AB10" s="65" t="n">
        <f aca="false">-PL!AB44</f>
        <v>54857.127972118</v>
      </c>
    </row>
    <row r="11" customFormat="false" ht="15" hidden="false" customHeight="false" outlineLevel="0" collapsed="false">
      <c r="A11" s="28" t="s">
        <v>468</v>
      </c>
      <c r="B11" s="63"/>
      <c r="C11" s="64" t="n">
        <f aca="false">SUM(E11:P11)</f>
        <v>73776.5335185185</v>
      </c>
      <c r="D11" s="64" t="n">
        <f aca="false">SUM(Q11:AB11)</f>
        <v>91562.8628156658</v>
      </c>
      <c r="E11" s="65" t="n">
        <f aca="false">-PL!E45</f>
        <v>5300</v>
      </c>
      <c r="F11" s="65" t="n">
        <f aca="false">-PL!F45</f>
        <v>5437.34361111111</v>
      </c>
      <c r="G11" s="65" t="n">
        <f aca="false">-PL!G45</f>
        <v>5614.37055555556</v>
      </c>
      <c r="H11" s="65" t="n">
        <f aca="false">-PL!H45</f>
        <v>5797.90416666667</v>
      </c>
      <c r="I11" s="65" t="n">
        <f aca="false">-PL!I45</f>
        <v>5983.25638888889</v>
      </c>
      <c r="J11" s="65" t="n">
        <f aca="false">-PL!J45</f>
        <v>6150.31277777778</v>
      </c>
      <c r="K11" s="65" t="n">
        <f aca="false">-PL!K45</f>
        <v>6287.62944444445</v>
      </c>
      <c r="L11" s="65" t="n">
        <f aca="false">-PL!L45</f>
        <v>6418.22305555556</v>
      </c>
      <c r="M11" s="65" t="n">
        <f aca="false">-PL!M45</f>
        <v>6485.97638888889</v>
      </c>
      <c r="N11" s="65" t="n">
        <f aca="false">-PL!N45</f>
        <v>6616.53194444445</v>
      </c>
      <c r="O11" s="65" t="n">
        <f aca="false">-PL!O45</f>
        <v>6747.0875</v>
      </c>
      <c r="P11" s="65" t="n">
        <f aca="false">-PL!P45</f>
        <v>6937.89768518519</v>
      </c>
      <c r="Q11" s="65" t="n">
        <f aca="false">-PL!Q45</f>
        <v>7075.56336033951</v>
      </c>
      <c r="R11" s="65" t="n">
        <f aca="false">-PL!R45</f>
        <v>7582.44836133616</v>
      </c>
      <c r="S11" s="65" t="n">
        <f aca="false">-PL!S45</f>
        <v>7721.00460481154</v>
      </c>
      <c r="T11" s="65" t="n">
        <f aca="false">-PL!T45</f>
        <v>7965.09959298126</v>
      </c>
      <c r="U11" s="65" t="n">
        <f aca="false">-PL!U45</f>
        <v>8161.27577736552</v>
      </c>
      <c r="V11" s="65" t="n">
        <f aca="false">-PL!V45</f>
        <v>8410.15698116123</v>
      </c>
      <c r="W11" s="65" t="n">
        <f aca="false">-PL!W45</f>
        <v>8555.17003936001</v>
      </c>
      <c r="X11" s="65" t="n">
        <f aca="false">-PL!X45</f>
        <v>8700.68216567615</v>
      </c>
      <c r="Y11" s="65" t="n">
        <f aca="false">-PL!Y45</f>
        <v>8847.91886893131</v>
      </c>
      <c r="Z11" s="65" t="n">
        <f aca="false">-PL!Z45</f>
        <v>8500.67583206108</v>
      </c>
      <c r="AA11" s="65" t="n">
        <f aca="false">-PL!AA45</f>
        <v>4947.84729807671</v>
      </c>
      <c r="AB11" s="65" t="n">
        <f aca="false">-PL!AB45</f>
        <v>5095.01993356532</v>
      </c>
    </row>
    <row r="12" customFormat="false" ht="15" hidden="false" customHeight="false" outlineLevel="0" collapsed="false">
      <c r="A12" s="28" t="s">
        <v>469</v>
      </c>
      <c r="B12" s="63"/>
      <c r="C12" s="64" t="n">
        <f aca="false">SUM(E12:P12)</f>
        <v>205138.8885</v>
      </c>
      <c r="D12" s="64" t="n">
        <f aca="false">SUM(Q12:AB12)</f>
        <v>148749.9951</v>
      </c>
      <c r="E12" s="65" t="n">
        <f aca="false">-PL!E47</f>
        <v>17500</v>
      </c>
      <c r="F12" s="65" t="n">
        <f aca="false">-PL!F47</f>
        <v>17500</v>
      </c>
      <c r="G12" s="65" t="n">
        <f aca="false">-PL!G47</f>
        <v>17500</v>
      </c>
      <c r="H12" s="65" t="n">
        <f aca="false">-PL!H47</f>
        <v>17500</v>
      </c>
      <c r="I12" s="65" t="n">
        <f aca="false">-PL!I47</f>
        <v>17500</v>
      </c>
      <c r="J12" s="65" t="n">
        <f aca="false">-PL!J47</f>
        <v>17500</v>
      </c>
      <c r="K12" s="65" t="n">
        <f aca="false">-PL!K47</f>
        <v>17500</v>
      </c>
      <c r="L12" s="65" t="n">
        <f aca="false">-PL!L47</f>
        <v>17500</v>
      </c>
      <c r="M12" s="65" t="n">
        <f aca="false">-PL!M47</f>
        <v>17013.88885</v>
      </c>
      <c r="N12" s="65" t="n">
        <f aca="false">-PL!N47</f>
        <v>16527.7777</v>
      </c>
      <c r="O12" s="65" t="n">
        <f aca="false">-PL!O47</f>
        <v>16041.66655</v>
      </c>
      <c r="P12" s="65" t="n">
        <f aca="false">-PL!P47</f>
        <v>15555.5554</v>
      </c>
      <c r="Q12" s="65" t="n">
        <f aca="false">-PL!Q47</f>
        <v>15069.44425</v>
      </c>
      <c r="R12" s="65" t="n">
        <f aca="false">-PL!R47</f>
        <v>14583.3331</v>
      </c>
      <c r="S12" s="65" t="n">
        <f aca="false">-PL!S47</f>
        <v>14097.22195</v>
      </c>
      <c r="T12" s="65" t="n">
        <f aca="false">-PL!T47</f>
        <v>13611.1108</v>
      </c>
      <c r="U12" s="65" t="n">
        <f aca="false">-PL!U47</f>
        <v>13124.99965</v>
      </c>
      <c r="V12" s="65" t="n">
        <f aca="false">-PL!V47</f>
        <v>12638.8885</v>
      </c>
      <c r="W12" s="65" t="n">
        <f aca="false">-PL!W47</f>
        <v>12152.77735</v>
      </c>
      <c r="X12" s="65" t="n">
        <f aca="false">-PL!X47</f>
        <v>11666.6662</v>
      </c>
      <c r="Y12" s="65" t="n">
        <f aca="false">-PL!Y47</f>
        <v>11180.55505</v>
      </c>
      <c r="Z12" s="65" t="n">
        <f aca="false">-PL!Z47</f>
        <v>10694.4439</v>
      </c>
      <c r="AA12" s="65" t="n">
        <f aca="false">-PL!AA47</f>
        <v>10208.33275</v>
      </c>
      <c r="AB12" s="65" t="n">
        <f aca="false">-PL!AB47</f>
        <v>9722.22159999999</v>
      </c>
    </row>
    <row r="13" customFormat="false" ht="15" hidden="false" customHeight="false" outlineLevel="0" collapsed="false">
      <c r="A13" s="28" t="s">
        <v>470</v>
      </c>
      <c r="B13" s="63"/>
      <c r="C13" s="64" t="n">
        <f aca="false">SUM(E13:P13)</f>
        <v>0</v>
      </c>
      <c r="D13" s="64" t="n">
        <f aca="false">SUM(Q13:AB13)</f>
        <v>0</v>
      </c>
      <c r="E13" s="65" t="n">
        <f aca="false">-PL!E49</f>
        <v>0</v>
      </c>
      <c r="F13" s="65" t="n">
        <f aca="false">-PL!F49</f>
        <v>0</v>
      </c>
      <c r="G13" s="65" t="n">
        <f aca="false">-PL!G49</f>
        <v>0</v>
      </c>
      <c r="H13" s="65" t="n">
        <f aca="false">-PL!H49</f>
        <v>0</v>
      </c>
      <c r="I13" s="65" t="n">
        <f aca="false">-PL!I49</f>
        <v>0</v>
      </c>
      <c r="J13" s="65" t="n">
        <f aca="false">-PL!J49</f>
        <v>0</v>
      </c>
      <c r="K13" s="65" t="n">
        <f aca="false">-PL!K49</f>
        <v>0</v>
      </c>
      <c r="L13" s="65" t="n">
        <f aca="false">-PL!L49</f>
        <v>0</v>
      </c>
      <c r="M13" s="65" t="n">
        <f aca="false">-PL!M49</f>
        <v>0</v>
      </c>
      <c r="N13" s="65" t="n">
        <f aca="false">-PL!N49</f>
        <v>0</v>
      </c>
      <c r="O13" s="65" t="n">
        <f aca="false">-PL!O49</f>
        <v>0</v>
      </c>
      <c r="P13" s="65" t="n">
        <f aca="false">-PL!P49</f>
        <v>0</v>
      </c>
      <c r="Q13" s="65" t="n">
        <f aca="false">-PL!Q49</f>
        <v>0</v>
      </c>
      <c r="R13" s="65" t="n">
        <f aca="false">-PL!R49</f>
        <v>0</v>
      </c>
      <c r="S13" s="65" t="n">
        <f aca="false">-PL!S49</f>
        <v>0</v>
      </c>
      <c r="T13" s="65" t="n">
        <f aca="false">-PL!T49</f>
        <v>0</v>
      </c>
      <c r="U13" s="65" t="n">
        <f aca="false">-PL!U49</f>
        <v>0</v>
      </c>
      <c r="V13" s="65" t="n">
        <f aca="false">-PL!V49</f>
        <v>0</v>
      </c>
      <c r="W13" s="65" t="n">
        <f aca="false">-PL!W49</f>
        <v>0</v>
      </c>
      <c r="X13" s="65" t="n">
        <f aca="false">-PL!X49</f>
        <v>0</v>
      </c>
      <c r="Y13" s="65" t="n">
        <f aca="false">-PL!Y49</f>
        <v>0</v>
      </c>
      <c r="Z13" s="65" t="n">
        <f aca="false">-PL!Z49</f>
        <v>0</v>
      </c>
      <c r="AA13" s="65" t="n">
        <f aca="false">-PL!AA49</f>
        <v>0</v>
      </c>
      <c r="AB13" s="65" t="n">
        <f aca="false">-PL!AB49</f>
        <v>0</v>
      </c>
    </row>
    <row r="14" customFormat="false" ht="15" hidden="false" customHeight="false" outlineLevel="0" collapsed="false">
      <c r="A14" s="59" t="s">
        <v>471</v>
      </c>
      <c r="B14" s="60"/>
      <c r="C14" s="61" t="n">
        <f aca="false">SUM(E14:P14)</f>
        <v>-670368.382614836</v>
      </c>
      <c r="D14" s="61" t="n">
        <f aca="false">SUM(Q14:AB14)</f>
        <v>-139041.390469954</v>
      </c>
      <c r="E14" s="61" t="n">
        <f aca="false">E9+E10+E11+E12+E13</f>
        <v>-80316.1613986426</v>
      </c>
      <c r="F14" s="61" t="n">
        <f aca="false">F9+F10+F11+F12+F13</f>
        <v>-94833.2523357558</v>
      </c>
      <c r="G14" s="61" t="n">
        <f aca="false">G9+G10+G11+G12+G13</f>
        <v>-105483.429479818</v>
      </c>
      <c r="H14" s="61" t="n">
        <f aca="false">H9+H10+H11+H12+H13</f>
        <v>-73737.292480054</v>
      </c>
      <c r="I14" s="61" t="n">
        <f aca="false">I9+I10+I11+I12+I13</f>
        <v>-90125.6709033416</v>
      </c>
      <c r="J14" s="61" t="n">
        <f aca="false">J9+J10+J11+J12+J13</f>
        <v>-82030.1098627328</v>
      </c>
      <c r="K14" s="61" t="n">
        <f aca="false">K9+K10+K11+K12+K13</f>
        <v>-52494.6256858053</v>
      </c>
      <c r="L14" s="61" t="n">
        <f aca="false">L9+L10+L11+L12+L13</f>
        <v>-21128.6868661037</v>
      </c>
      <c r="M14" s="61" t="n">
        <f aca="false">M9+M10+M11+M12+M13</f>
        <v>-29062.7288785742</v>
      </c>
      <c r="N14" s="61" t="n">
        <f aca="false">N9+N10+N11+N12+N13</f>
        <v>-19363.3079623143</v>
      </c>
      <c r="O14" s="61" t="n">
        <f aca="false">O9+O10+O11+O12+O13</f>
        <v>-19255.8060402165</v>
      </c>
      <c r="P14" s="61" t="n">
        <f aca="false">P9+P10+P11+P12+P13</f>
        <v>-2537.31072147762</v>
      </c>
      <c r="Q14" s="61" t="n">
        <f aca="false">Q9+Q10+Q11+Q12+Q13</f>
        <v>-83593.8510723103</v>
      </c>
      <c r="R14" s="61" t="n">
        <f aca="false">R9+R10+R11+R12+R13</f>
        <v>-36520.2043107969</v>
      </c>
      <c r="S14" s="61" t="n">
        <f aca="false">S9+S10+S11+S12+S13</f>
        <v>-60866.7270044282</v>
      </c>
      <c r="T14" s="61" t="n">
        <f aca="false">T9+T10+T11+T12+T13</f>
        <v>-25559.6246218798</v>
      </c>
      <c r="U14" s="61" t="n">
        <f aca="false">U9+U10+U11+U12+U13</f>
        <v>-51202.9767131293</v>
      </c>
      <c r="V14" s="61" t="n">
        <f aca="false">V9+V10+V11+V12+V13</f>
        <v>-9929.41132661025</v>
      </c>
      <c r="W14" s="61" t="n">
        <f aca="false">W9+W10+W11+W12+W13</f>
        <v>-1837.38678112999</v>
      </c>
      <c r="X14" s="61" t="n">
        <f aca="false">X9+X10+X11+X12+X13</f>
        <v>20940.2952690659</v>
      </c>
      <c r="Y14" s="61" t="n">
        <f aca="false">Y9+Y10+Y11+Y12+Y13</f>
        <v>2782.95032502967</v>
      </c>
      <c r="Z14" s="61" t="n">
        <f aca="false">Z9+Z10+Z11+Z12+Z13</f>
        <v>25299.7894403335</v>
      </c>
      <c r="AA14" s="61" t="n">
        <f aca="false">AA9+AA10+AA11+AA12+AA13</f>
        <v>35649.8658278742</v>
      </c>
      <c r="AB14" s="61" t="n">
        <f aca="false">AB9+AB10+AB11+AB12+AB13</f>
        <v>45795.8904980273</v>
      </c>
    </row>
    <row r="15" customFormat="false" ht="15" hidden="false" customHeight="false" outlineLevel="0" collapsed="false">
      <c r="A15" s="28" t="s">
        <v>472</v>
      </c>
      <c r="B15" s="63" t="s">
        <v>473</v>
      </c>
      <c r="C15" s="64" t="n">
        <f aca="false">SUM(E15:P15)</f>
        <v>-168895.272447929</v>
      </c>
      <c r="D15" s="64" t="n">
        <f aca="false">SUM(Q15:AB15)</f>
        <v>-144293.789831047</v>
      </c>
      <c r="E15" s="65" t="n">
        <f aca="false">-((BS!E10-(Inputs_Actuals!$C$318+Inputs_Actuals!$C$319-Inputs_Actuals!$C$320)))</f>
        <v>-506650.166765024</v>
      </c>
      <c r="F15" s="65" t="n">
        <f aca="false">-((BS!F10-BS!E10))</f>
        <v>316548.71548336</v>
      </c>
      <c r="G15" s="65" t="n">
        <f aca="false">-((BS!G10-BS!F10))</f>
        <v>-91756.897962432</v>
      </c>
      <c r="H15" s="65" t="n">
        <f aca="false">-((BS!H10-BS!G10))</f>
        <v>-169060.532521696</v>
      </c>
      <c r="I15" s="65" t="n">
        <f aca="false">-((BS!I10-BS!H10))</f>
        <v>164377.4491848</v>
      </c>
      <c r="J15" s="65" t="n">
        <f aca="false">-((BS!J10-BS!I10))</f>
        <v>66678.614895712</v>
      </c>
      <c r="K15" s="65" t="n">
        <f aca="false">-((BS!K10-BS!J10))</f>
        <v>-65110.9141665279</v>
      </c>
      <c r="L15" s="65" t="n">
        <f aca="false">-((BS!L10-BS!K10))</f>
        <v>224023.425557312</v>
      </c>
      <c r="M15" s="65" t="n">
        <f aca="false">-((BS!M10-BS!L10))</f>
        <v>-192144.138979258</v>
      </c>
      <c r="N15" s="65" t="n">
        <f aca="false">-((BS!N10-BS!M10))</f>
        <v>40234.2021070577</v>
      </c>
      <c r="O15" s="65" t="n">
        <f aca="false">-((BS!O10-BS!N10))</f>
        <v>-100344.351166738</v>
      </c>
      <c r="P15" s="65" t="n">
        <f aca="false">-((BS!P10-BS!O10))</f>
        <v>144309.321885506</v>
      </c>
      <c r="Q15" s="65" t="n">
        <f aca="false">-((BS!Q10-BS!P10))</f>
        <v>-481598.877118997</v>
      </c>
      <c r="R15" s="65" t="n">
        <f aca="false">-((BS!R10-BS!Q10))</f>
        <v>325749.92689714</v>
      </c>
      <c r="S15" s="65" t="n">
        <f aca="false">-((BS!S10-BS!R10))</f>
        <v>-102767.05653415</v>
      </c>
      <c r="T15" s="65" t="n">
        <f aca="false">-((BS!T10-BS!S10))</f>
        <v>-154717.505819435</v>
      </c>
      <c r="U15" s="65" t="n">
        <f aca="false">-((BS!U10-BS!T10))</f>
        <v>214501.239667645</v>
      </c>
      <c r="V15" s="65" t="n">
        <f aca="false">-((BS!V10-BS!U10))</f>
        <v>25024.4056524297</v>
      </c>
      <c r="W15" s="65" t="n">
        <f aca="false">-((BS!W10-BS!V10))</f>
        <v>-70957.8391443412</v>
      </c>
      <c r="X15" s="65" t="n">
        <f aca="false">-((BS!X10-BS!W10))</f>
        <v>278134.028253311</v>
      </c>
      <c r="Y15" s="65" t="n">
        <f aca="false">-((BS!Y10-BS!X10))</f>
        <v>-229537.499543267</v>
      </c>
      <c r="Z15" s="65" t="n">
        <f aca="false">-((BS!Z10-BS!Y10))</f>
        <v>-25137.7563004018</v>
      </c>
      <c r="AA15" s="65" t="n">
        <f aca="false">-((BS!AA10-BS!Z10))</f>
        <v>-83771.1423581595</v>
      </c>
      <c r="AB15" s="65" t="n">
        <f aca="false">-((BS!AB10-BS!AA10))</f>
        <v>160784.286517179</v>
      </c>
    </row>
    <row r="16" customFormat="false" ht="15" hidden="false" customHeight="false" outlineLevel="0" collapsed="false">
      <c r="A16" s="28" t="s">
        <v>474</v>
      </c>
      <c r="B16" s="63" t="s">
        <v>473</v>
      </c>
      <c r="C16" s="64" t="n">
        <f aca="false">SUM(E16:P16)</f>
        <v>0.0112159999844152</v>
      </c>
      <c r="D16" s="64" t="n">
        <f aca="false">SUM(Q16:AB16)</f>
        <v>-2.91038304567337E-011</v>
      </c>
      <c r="E16" s="65" t="n">
        <f aca="false">-((BS!E11-0))</f>
        <v>0.00454399999580346</v>
      </c>
      <c r="F16" s="65" t="n">
        <f aca="false">-((BS!F11-BS!E11))</f>
        <v>-0.00353599997470155</v>
      </c>
      <c r="G16" s="65" t="n">
        <f aca="false">-((BS!G11-BS!F11))</f>
        <v>0.00207999994745478</v>
      </c>
      <c r="H16" s="65" t="n">
        <f aca="false">-((BS!H11-BS!G11))</f>
        <v>0.00121599997510202</v>
      </c>
      <c r="I16" s="65" t="n">
        <f aca="false">-((BS!I11-BS!H11))</f>
        <v>0.00259199997526594</v>
      </c>
      <c r="J16" s="65" t="n">
        <f aca="false">-((BS!J11-BS!I11))</f>
        <v>-0.00404800000251271</v>
      </c>
      <c r="K16" s="65" t="n">
        <f aca="false">-((BS!K11-BS!J11))</f>
        <v>0.00444800002151169</v>
      </c>
      <c r="L16" s="65" t="n">
        <f aca="false">-((BS!L11-BS!K11))</f>
        <v>0.00392000004649162</v>
      </c>
      <c r="M16" s="65" t="n">
        <f aca="false">-((BS!M11-BS!L11))</f>
        <v>-0</v>
      </c>
      <c r="N16" s="65" t="n">
        <f aca="false">-((BS!N11-BS!M11))</f>
        <v>-0</v>
      </c>
      <c r="O16" s="65" t="n">
        <f aca="false">-((BS!O11-BS!N11))</f>
        <v>-0</v>
      </c>
      <c r="P16" s="65" t="n">
        <f aca="false">-((BS!P11-BS!O11))</f>
        <v>-0</v>
      </c>
      <c r="Q16" s="65" t="n">
        <f aca="false">-((BS!Q11-BS!P11))</f>
        <v>-0</v>
      </c>
      <c r="R16" s="65" t="n">
        <f aca="false">-((BS!R11-BS!Q11))</f>
        <v>-0</v>
      </c>
      <c r="S16" s="65" t="n">
        <f aca="false">-((BS!S11-BS!R11))</f>
        <v>-0</v>
      </c>
      <c r="T16" s="65" t="n">
        <f aca="false">-((BS!T11-BS!S11))</f>
        <v>-2.91038304567337E-011</v>
      </c>
      <c r="U16" s="65" t="n">
        <f aca="false">-((BS!U11-BS!T11))</f>
        <v>-0</v>
      </c>
      <c r="V16" s="65" t="n">
        <f aca="false">-((BS!V11-BS!U11))</f>
        <v>-0</v>
      </c>
      <c r="W16" s="65" t="n">
        <f aca="false">-((BS!W11-BS!V11))</f>
        <v>-0</v>
      </c>
      <c r="X16" s="65" t="n">
        <f aca="false">-((BS!X11-BS!W11))</f>
        <v>-0</v>
      </c>
      <c r="Y16" s="65" t="n">
        <f aca="false">-((BS!Y11-BS!X11))</f>
        <v>-0</v>
      </c>
      <c r="Z16" s="65" t="n">
        <f aca="false">-((BS!Z11-BS!Y11))</f>
        <v>-0</v>
      </c>
      <c r="AA16" s="65" t="n">
        <f aca="false">-((BS!AA11-BS!Z11))</f>
        <v>-0</v>
      </c>
      <c r="AB16" s="65" t="n">
        <f aca="false">-((BS!AB11-BS!AA11))</f>
        <v>-0</v>
      </c>
    </row>
    <row r="17" customFormat="false" ht="15" hidden="false" customHeight="false" outlineLevel="0" collapsed="false">
      <c r="A17" s="28" t="s">
        <v>475</v>
      </c>
      <c r="B17" s="63" t="s">
        <v>473</v>
      </c>
      <c r="C17" s="64" t="n">
        <f aca="false">SUM(E17:P17)</f>
        <v>0</v>
      </c>
      <c r="D17" s="64" t="n">
        <f aca="false">SUM(Q17:AB17)</f>
        <v>0</v>
      </c>
      <c r="E17" s="65" t="n">
        <f aca="false">-((BS!E12-Inputs_Actuals!$C$327))</f>
        <v>-0</v>
      </c>
      <c r="F17" s="65" t="n">
        <f aca="false">-((BS!F12-BS!E12))</f>
        <v>-0</v>
      </c>
      <c r="G17" s="65" t="n">
        <f aca="false">-((BS!G12-BS!F12))</f>
        <v>-0</v>
      </c>
      <c r="H17" s="65" t="n">
        <f aca="false">-((BS!H12-BS!G12))</f>
        <v>-0</v>
      </c>
      <c r="I17" s="65" t="n">
        <f aca="false">-((BS!I12-BS!H12))</f>
        <v>-0</v>
      </c>
      <c r="J17" s="65" t="n">
        <f aca="false">-((BS!J12-BS!I12))</f>
        <v>-0</v>
      </c>
      <c r="K17" s="65" t="n">
        <f aca="false">-((BS!K12-BS!J12))</f>
        <v>-0</v>
      </c>
      <c r="L17" s="65" t="n">
        <f aca="false">-((BS!L12-BS!K12))</f>
        <v>-0</v>
      </c>
      <c r="M17" s="65" t="n">
        <f aca="false">-((BS!M12-BS!L12))</f>
        <v>-0</v>
      </c>
      <c r="N17" s="65" t="n">
        <f aca="false">-((BS!N12-BS!M12))</f>
        <v>-0</v>
      </c>
      <c r="O17" s="65" t="n">
        <f aca="false">-((BS!O12-BS!N12))</f>
        <v>-0</v>
      </c>
      <c r="P17" s="65" t="n">
        <f aca="false">-((BS!P12-BS!O12))</f>
        <v>-0</v>
      </c>
      <c r="Q17" s="65" t="n">
        <f aca="false">-((BS!Q12-BS!P12))</f>
        <v>-0</v>
      </c>
      <c r="R17" s="65" t="n">
        <f aca="false">-((BS!R12-BS!Q12))</f>
        <v>-0</v>
      </c>
      <c r="S17" s="65" t="n">
        <f aca="false">-((BS!S12-BS!R12))</f>
        <v>-0</v>
      </c>
      <c r="T17" s="65" t="n">
        <f aca="false">-((BS!T12-BS!S12))</f>
        <v>-0</v>
      </c>
      <c r="U17" s="65" t="n">
        <f aca="false">-((BS!U12-BS!T12))</f>
        <v>-0</v>
      </c>
      <c r="V17" s="65" t="n">
        <f aca="false">-((BS!V12-BS!U12))</f>
        <v>-0</v>
      </c>
      <c r="W17" s="65" t="n">
        <f aca="false">-((BS!W12-BS!V12))</f>
        <v>-0</v>
      </c>
      <c r="X17" s="65" t="n">
        <f aca="false">-((BS!X12-BS!W12))</f>
        <v>-0</v>
      </c>
      <c r="Y17" s="65" t="n">
        <f aca="false">-((BS!Y12-BS!X12))</f>
        <v>-0</v>
      </c>
      <c r="Z17" s="65" t="n">
        <f aca="false">-((BS!Z12-BS!Y12))</f>
        <v>-0</v>
      </c>
      <c r="AA17" s="65" t="n">
        <f aca="false">-((BS!AA12-BS!Z12))</f>
        <v>-0</v>
      </c>
      <c r="AB17" s="65" t="n">
        <f aca="false">-((BS!AB12-BS!AA12))</f>
        <v>-0</v>
      </c>
    </row>
    <row r="18" customFormat="false" ht="15" hidden="false" customHeight="false" outlineLevel="0" collapsed="false">
      <c r="A18" s="28" t="s">
        <v>476</v>
      </c>
      <c r="B18" s="63" t="s">
        <v>473</v>
      </c>
      <c r="C18" s="64" t="n">
        <f aca="false">SUM(E18:P18)</f>
        <v>-26991.1059504006</v>
      </c>
      <c r="D18" s="64" t="n">
        <f aca="false">SUM(Q18:AB18)</f>
        <v>-27656.4128507187</v>
      </c>
      <c r="E18" s="65" t="n">
        <f aca="false">-((BS!E13-Inputs_Actuals!$C$321))</f>
        <v>-6110.49875500001</v>
      </c>
      <c r="F18" s="65" t="n">
        <f aca="false">-((BS!F13-BS!E13))</f>
        <v>2604.16415906249</v>
      </c>
      <c r="G18" s="65" t="n">
        <f aca="false">-((BS!G13-BS!F13))</f>
        <v>-3403.56194375001</v>
      </c>
      <c r="H18" s="65" t="n">
        <f aca="false">-((BS!H13-BS!G13))</f>
        <v>-16705.62034125</v>
      </c>
      <c r="I18" s="65" t="n">
        <f aca="false">-((BS!I13-BS!H13))</f>
        <v>3596.40237187501</v>
      </c>
      <c r="J18" s="65" t="n">
        <f aca="false">-((BS!J13-BS!I13))</f>
        <v>1918.15935968747</v>
      </c>
      <c r="K18" s="65" t="n">
        <f aca="false">-((BS!K13-BS!J13))</f>
        <v>-6854.32253500004</v>
      </c>
      <c r="L18" s="65" t="n">
        <f aca="false">-((BS!L13-BS!K13))</f>
        <v>1941.54857312498</v>
      </c>
      <c r="M18" s="65" t="n">
        <f aca="false">-((BS!M13-BS!L13))</f>
        <v>1740.95290332311</v>
      </c>
      <c r="N18" s="65" t="n">
        <f aca="false">-((BS!N13-BS!M13))</f>
        <v>1987.06476902787</v>
      </c>
      <c r="O18" s="65" t="n">
        <f aca="false">-((BS!O13-BS!N13))</f>
        <v>-4622.76046007767</v>
      </c>
      <c r="P18" s="65" t="n">
        <f aca="false">-((BS!P13-BS!O13))</f>
        <v>-3082.63405142381</v>
      </c>
      <c r="Q18" s="65" t="n">
        <f aca="false">-((BS!Q13-BS!P13))</f>
        <v>-4877.90767305449</v>
      </c>
      <c r="R18" s="65" t="n">
        <f aca="false">-((BS!R13-BS!Q13))</f>
        <v>-1908.44660348259</v>
      </c>
      <c r="S18" s="65" t="n">
        <f aca="false">-((BS!S13-BS!R13))</f>
        <v>-3285.56834093848</v>
      </c>
      <c r="T18" s="65" t="n">
        <f aca="false">-((BS!T13-BS!S13))</f>
        <v>-2493.91756087996</v>
      </c>
      <c r="U18" s="65" t="n">
        <f aca="false">-((BS!U13-BS!T13))</f>
        <v>2614.28061569965</v>
      </c>
      <c r="V18" s="65" t="n">
        <f aca="false">-((BS!V13-BS!U13))</f>
        <v>-2845.4204011081</v>
      </c>
      <c r="W18" s="65" t="n">
        <f aca="false">-((BS!W13-BS!V13))</f>
        <v>-2249.02667302586</v>
      </c>
      <c r="X18" s="65" t="n">
        <f aca="false">-((BS!X13-BS!W13))</f>
        <v>-439.458362897043</v>
      </c>
      <c r="Y18" s="65" t="n">
        <f aca="false">-((BS!Y13-BS!X13))</f>
        <v>-3898.66926633188</v>
      </c>
      <c r="Z18" s="65" t="n">
        <f aca="false">-((BS!Z13-BS!Y13))</f>
        <v>-3552.46159486752</v>
      </c>
      <c r="AA18" s="65" t="n">
        <f aca="false">-((BS!AA13-BS!Z13))</f>
        <v>-3280.75776478701</v>
      </c>
      <c r="AB18" s="65" t="n">
        <f aca="false">-((BS!AB13-BS!AA13))</f>
        <v>-1439.05922504538</v>
      </c>
    </row>
    <row r="19" customFormat="false" ht="15" hidden="false" customHeight="false" outlineLevel="0" collapsed="false">
      <c r="A19" s="28" t="s">
        <v>477</v>
      </c>
      <c r="B19" s="63" t="s">
        <v>473</v>
      </c>
      <c r="C19" s="64" t="n">
        <f aca="false">SUM(E19:P19)</f>
        <v>11818.0330084489</v>
      </c>
      <c r="D19" s="64" t="n">
        <f aca="false">SUM(Q19:AB19)</f>
        <v>14884.2266110661</v>
      </c>
      <c r="E19" s="65" t="n">
        <f aca="false">((BS!E18-Inputs_Actuals!$C$328)+(BS!E19-Inputs_Actuals!$C$329)+(BS!E20-Inputs_Actuals!$C$330))</f>
        <v>11351.01315</v>
      </c>
      <c r="F19" s="65" t="n">
        <f aca="false">((BS!F18-BS!E18)+(BS!F19-BS!E19)+(BS!F20-BS!E20))</f>
        <v>10298.4899</v>
      </c>
      <c r="G19" s="65" t="n">
        <f aca="false">((BS!G18-BS!F18)+(BS!G19-BS!F19)+(BS!G20-BS!F20))</f>
        <v>18444.10365</v>
      </c>
      <c r="H19" s="65" t="n">
        <f aca="false">((BS!H18-BS!G18)+(BS!H19-BS!G19)+(BS!H20-BS!G20))</f>
        <v>-22897.5185</v>
      </c>
      <c r="I19" s="65" t="n">
        <f aca="false">((BS!I18-BS!H18)+(BS!I19-BS!H19)+(BS!I20-BS!H20))</f>
        <v>22570.07995</v>
      </c>
      <c r="J19" s="65" t="n">
        <f aca="false">((BS!J18-BS!I18)+(BS!J19-BS!I19)+(BS!J20-BS!I20))</f>
        <v>-24137.5141</v>
      </c>
      <c r="K19" s="65" t="n">
        <f aca="false">((BS!K18-BS!J18)+(BS!K19-BS!J19)+(BS!K20-BS!J20))</f>
        <v>-4537.95849999999</v>
      </c>
      <c r="L19" s="65" t="n">
        <f aca="false">((BS!L18-BS!K18)+(BS!L19-BS!K19)+(BS!L20-BS!K20))</f>
        <v>-14213.3135</v>
      </c>
      <c r="M19" s="65" t="n">
        <f aca="false">((BS!M18-BS!L18)+(BS!M19-BS!L19)+(BS!M20-BS!L20))</f>
        <v>12185.3069110681</v>
      </c>
      <c r="N19" s="65" t="n">
        <f aca="false">((BS!N18-BS!M18)+(BS!N19-BS!M19)+(BS!N20-BS!M20))</f>
        <v>408.645752696393</v>
      </c>
      <c r="O19" s="65" t="n">
        <f aca="false">((BS!O18-BS!N18)+(BS!O19-BS!N19)+(BS!O20-BS!N20))</f>
        <v>9642.9973361562</v>
      </c>
      <c r="P19" s="65" t="n">
        <f aca="false">((BS!P18-BS!O18)+(BS!P19-BS!O19)+(BS!P20-BS!O20))</f>
        <v>-7296.29904147187</v>
      </c>
      <c r="Q19" s="65" t="n">
        <f aca="false">((BS!Q18-BS!P18)+(BS!Q19-BS!P19)+(BS!Q20-BS!P20))</f>
        <v>65514.9667194882</v>
      </c>
      <c r="R19" s="65" t="n">
        <f aca="false">((BS!R18-BS!Q18)+(BS!R19-BS!Q19)+(BS!R20-BS!Q20))</f>
        <v>-53524.7333358317</v>
      </c>
      <c r="S19" s="65" t="n">
        <f aca="false">((BS!S18-BS!R18)+(BS!S19-BS!R19)+(BS!S20-BS!R20))</f>
        <v>36532.6998394942</v>
      </c>
      <c r="T19" s="65" t="n">
        <f aca="false">((BS!T18-BS!S18)+(BS!T19-BS!S19)+(BS!T20-BS!S20))</f>
        <v>-31451.0067413505</v>
      </c>
      <c r="U19" s="65" t="n">
        <f aca="false">((BS!U18-BS!T18)+(BS!U19-BS!T19)+(BS!U20-BS!T20))</f>
        <v>35483.2998492629</v>
      </c>
      <c r="V19" s="65" t="n">
        <f aca="false">((BS!V18-BS!U18)+(BS!V19-BS!U19)+(BS!V20-BS!U20))</f>
        <v>-41651.6135195075</v>
      </c>
      <c r="W19" s="65" t="n">
        <f aca="false">((BS!W18-BS!V18)+(BS!W19-BS!V19)+(BS!W20-BS!V20))</f>
        <v>530.142048060545</v>
      </c>
      <c r="X19" s="65" t="n">
        <f aca="false">((BS!X18-BS!W18)+(BS!X19-BS!W19)+(BS!X20-BS!W20))</f>
        <v>-6168.51249414598</v>
      </c>
      <c r="Y19" s="65" t="n">
        <f aca="false">((BS!Y18-BS!X18)+(BS!Y19-BS!X19)+(BS!Y20-BS!X20))</f>
        <v>23335.2530174796</v>
      </c>
      <c r="Z19" s="65" t="n">
        <f aca="false">((BS!Z18-BS!Y18)+(BS!Z19-BS!Y19)+(BS!Z20-BS!Y20))</f>
        <v>-14895.4239065752</v>
      </c>
      <c r="AA19" s="65" t="n">
        <f aca="false">((BS!AA18-BS!Z18)+(BS!AA19-BS!Z19)+(BS!AA20-BS!Z20))</f>
        <v>552.045799753279</v>
      </c>
      <c r="AB19" s="65" t="n">
        <f aca="false">((BS!AB18-BS!AA18)+(BS!AB19-BS!AA19)+(BS!AB20-BS!AA20))</f>
        <v>627.109334938141</v>
      </c>
    </row>
    <row r="20" customFormat="false" ht="15" hidden="false" customHeight="false" outlineLevel="0" collapsed="false">
      <c r="A20" s="28" t="s">
        <v>478</v>
      </c>
      <c r="B20" s="63" t="s">
        <v>473</v>
      </c>
      <c r="C20" s="64" t="n">
        <f aca="false">SUM(E20:P20)</f>
        <v>439414.414895035</v>
      </c>
      <c r="D20" s="64" t="n">
        <f aca="false">SUM(Q20:AB20)</f>
        <v>518668.31921717</v>
      </c>
      <c r="E20" s="65" t="n">
        <f aca="false">((BS!E21-Inputs_Actuals!$C$331))</f>
        <v>398722.05</v>
      </c>
      <c r="F20" s="65" t="n">
        <f aca="false">((BS!F21-BS!E21))</f>
        <v>-139673.36</v>
      </c>
      <c r="G20" s="65" t="n">
        <f aca="false">((BS!G21-BS!F21))</f>
        <v>196973.16</v>
      </c>
      <c r="H20" s="65" t="n">
        <f aca="false">((BS!H21-BS!G21))</f>
        <v>109877.33</v>
      </c>
      <c r="I20" s="65" t="n">
        <f aca="false">((BS!I21-BS!H21))</f>
        <v>26734.6099999999</v>
      </c>
      <c r="J20" s="65" t="n">
        <f aca="false">((BS!J21-BS!I21))</f>
        <v>15270.1799999997</v>
      </c>
      <c r="K20" s="65" t="n">
        <f aca="false">((BS!K21-BS!J21))</f>
        <v>38756.1499999999</v>
      </c>
      <c r="L20" s="65" t="n">
        <f aca="false">((BS!L21-BS!K21))</f>
        <v>-183844.22</v>
      </c>
      <c r="M20" s="65" t="n">
        <f aca="false">((BS!M21-BS!L21))</f>
        <v>96344.1846281199</v>
      </c>
      <c r="N20" s="65" t="n">
        <f aca="false">((BS!N21-BS!M21))</f>
        <v>-70276.0601138531</v>
      </c>
      <c r="O20" s="65" t="n">
        <f aca="false">((BS!O21-BS!N21))</f>
        <v>96244.9981335306</v>
      </c>
      <c r="P20" s="65" t="n">
        <f aca="false">((BS!P21-BS!O21))</f>
        <v>-145714.607752762</v>
      </c>
      <c r="Q20" s="65" t="n">
        <f aca="false">((BS!Q21-BS!P21))</f>
        <v>413586.151744929</v>
      </c>
      <c r="R20" s="65" t="n">
        <f aca="false">((BS!R21-BS!Q21))</f>
        <v>-134882.687466215</v>
      </c>
      <c r="S20" s="65" t="n">
        <f aca="false">((BS!S21-BS!R21))</f>
        <v>205211.032043196</v>
      </c>
      <c r="T20" s="65" t="n">
        <f aca="false">((BS!T21-BS!S21))</f>
        <v>127473.767802753</v>
      </c>
      <c r="U20" s="65" t="n">
        <f aca="false">((BS!U21-BS!T21))</f>
        <v>-2782.90260071913</v>
      </c>
      <c r="V20" s="65" t="n">
        <f aca="false">((BS!V21-BS!U21))</f>
        <v>25371.6085813302</v>
      </c>
      <c r="W20" s="65" t="n">
        <f aca="false">((BS!W21-BS!V21))</f>
        <v>53190.5250145942</v>
      </c>
      <c r="X20" s="65" t="n">
        <f aca="false">((BS!X21-BS!W21))</f>
        <v>-186824.704895643</v>
      </c>
      <c r="Y20" s="65" t="n">
        <f aca="false">((BS!Y21-BS!X21))</f>
        <v>113710.092255368</v>
      </c>
      <c r="Z20" s="65" t="n">
        <f aca="false">((BS!Z21-BS!Y21))</f>
        <v>-58007.1310402611</v>
      </c>
      <c r="AA20" s="65" t="n">
        <f aca="false">((BS!AA21-BS!Z21))</f>
        <v>106661.3237863</v>
      </c>
      <c r="AB20" s="65" t="n">
        <f aca="false">((BS!AB21-BS!AA21))</f>
        <v>-144038.756008461</v>
      </c>
    </row>
    <row r="21" customFormat="false" ht="15" hidden="false" customHeight="false" outlineLevel="0" collapsed="false">
      <c r="A21" s="28" t="s">
        <v>479</v>
      </c>
      <c r="B21" s="63" t="s">
        <v>473</v>
      </c>
      <c r="C21" s="64" t="n">
        <f aca="false">SUM(E21:P21)</f>
        <v>25446.90625</v>
      </c>
      <c r="D21" s="64" t="n">
        <f aca="false">SUM(Q21:AB21)</f>
        <v>6193.25989583334</v>
      </c>
      <c r="E21" s="65" t="n">
        <f aca="false">((BS!E22-Inputs_Actuals!$C$332))</f>
        <v>9541.66666666667</v>
      </c>
      <c r="F21" s="65" t="n">
        <f aca="false">((BS!F22-BS!E22))</f>
        <v>-3591.66666666667</v>
      </c>
      <c r="G21" s="65" t="n">
        <f aca="false">((BS!G22-BS!F22))</f>
        <v>4450</v>
      </c>
      <c r="H21" s="65" t="n">
        <f aca="false">((BS!H22-BS!G22))</f>
        <v>24475</v>
      </c>
      <c r="I21" s="65" t="n">
        <f aca="false">((BS!I22-BS!H22))</f>
        <v>-7233.33333333333</v>
      </c>
      <c r="J21" s="65" t="n">
        <f aca="false">((BS!J22-BS!I22))</f>
        <v>-5566.66666666667</v>
      </c>
      <c r="K21" s="65" t="n">
        <f aca="false">((BS!K22-BS!J22))</f>
        <v>8433.33333333333</v>
      </c>
      <c r="L21" s="65" t="n">
        <f aca="false">((BS!L22-BS!K22))</f>
        <v>-3308.33333333333</v>
      </c>
      <c r="M21" s="65" t="n">
        <f aca="false">((BS!M22-BS!L22))</f>
        <v>-4325.33125</v>
      </c>
      <c r="N21" s="65" t="n">
        <f aca="false">((BS!N22-BS!M22))</f>
        <v>-4876.95208333334</v>
      </c>
      <c r="O21" s="65" t="n">
        <f aca="false">((BS!O22-BS!N22))</f>
        <v>5027.91875</v>
      </c>
      <c r="P21" s="65" t="n">
        <f aca="false">((BS!P22-BS!O22))</f>
        <v>2421.27083333333</v>
      </c>
      <c r="Q21" s="65" t="n">
        <f aca="false">((BS!Q22-BS!P22))</f>
        <v>3248.67427083333</v>
      </c>
      <c r="R21" s="65" t="n">
        <f aca="false">((BS!R22-BS!Q22))</f>
        <v>-114.44395833333</v>
      </c>
      <c r="S21" s="65" t="n">
        <f aca="false">((BS!S22-BS!R22))</f>
        <v>1401.50770833333</v>
      </c>
      <c r="T21" s="65" t="n">
        <f aca="false">((BS!T22-BS!S22))</f>
        <v>2204.66895833334</v>
      </c>
      <c r="U21" s="65" t="n">
        <f aca="false">((BS!U22-BS!T22))</f>
        <v>-5574.73979166667</v>
      </c>
      <c r="V21" s="65" t="n">
        <f aca="false">((BS!V22-BS!U22))</f>
        <v>1190.29062499999</v>
      </c>
      <c r="W21" s="65" t="n">
        <f aca="false">((BS!W22-BS!V22))</f>
        <v>668.976145833323</v>
      </c>
      <c r="X21" s="65" t="n">
        <f aca="false">((BS!X22-BS!W22))</f>
        <v>-1415.70354166666</v>
      </c>
      <c r="Y21" s="65" t="n">
        <f aca="false">((BS!Y22-BS!X22))</f>
        <v>2212.70864583334</v>
      </c>
      <c r="Z21" s="65" t="n">
        <f aca="false">((BS!Z22-BS!Y22))</f>
        <v>1931.5359375</v>
      </c>
      <c r="AA21" s="65" t="n">
        <f aca="false">((BS!AA22-BS!Z22))</f>
        <v>1036.07947916667</v>
      </c>
      <c r="AB21" s="65" t="n">
        <f aca="false">((BS!AB22-BS!AA22))</f>
        <v>-596.294583333322</v>
      </c>
    </row>
    <row r="22" customFormat="false" ht="15" hidden="false" customHeight="false" outlineLevel="0" collapsed="false">
      <c r="A22" s="28" t="s">
        <v>480</v>
      </c>
      <c r="B22" s="63" t="s">
        <v>473</v>
      </c>
      <c r="C22" s="64" t="n">
        <f aca="false">SUM(E22:P22)</f>
        <v>48649.9862833709</v>
      </c>
      <c r="D22" s="64" t="n">
        <f aca="false">SUM(Q22:AB22)</f>
        <v>-70994.1922495775</v>
      </c>
      <c r="E22" s="65" t="n">
        <f aca="false">((BS!E23-Inputs_Actuals!$C$333)+(BS!E24-Inputs_Actuals!$C$334)+(BS!E27-Inputs_Actuals!$C$337)+(BS!E28-Inputs_Actuals!$C$338))</f>
        <v>-90426.209645</v>
      </c>
      <c r="F22" s="65" t="n">
        <f aca="false">((BS!F23-BS!E23)+(BS!F24-BS!E24)+(BS!F27-BS!E27)+(BS!F28-BS!E28))</f>
        <v>95788.531715</v>
      </c>
      <c r="G22" s="65" t="n">
        <f aca="false">((BS!G23-BS!F23)+(BS!G24-BS!F24)+(BS!G27-BS!F27)+(BS!G28-BS!F28))</f>
        <v>109963.69439</v>
      </c>
      <c r="H22" s="65" t="n">
        <f aca="false">((BS!H23-BS!G23)+(BS!H24-BS!G24)+(BS!H27-BS!G27)+(BS!H28-BS!G28))</f>
        <v>-42822.73937</v>
      </c>
      <c r="I22" s="65" t="n">
        <f aca="false">((BS!I23-BS!H23)+(BS!I24-BS!H24)+(BS!I27-BS!H27)+(BS!I28-BS!H28))</f>
        <v>91195.771355</v>
      </c>
      <c r="J22" s="65" t="n">
        <f aca="false">((BS!J23-BS!I23)+(BS!J24-BS!I24)+(BS!J27-BS!I27)+(BS!J28-BS!I28))</f>
        <v>-117468.406415</v>
      </c>
      <c r="K22" s="65" t="n">
        <f aca="false">((BS!K23-BS!J23)+(BS!K24-BS!J24)+(BS!K27-BS!J27)+(BS!K28-BS!J28))</f>
        <v>-114806.44108</v>
      </c>
      <c r="L22" s="65" t="n">
        <f aca="false">((BS!L23-BS!K23)+(BS!L24-BS!K24)+(BS!L27-BS!K27)+(BS!L28-BS!K28))</f>
        <v>95190.136255</v>
      </c>
      <c r="M22" s="65" t="n">
        <f aca="false">((BS!M23-BS!L23)+(BS!M24-BS!L24)+(BS!M27-BS!L27)+(BS!M28-BS!L28))</f>
        <v>103933.453475492</v>
      </c>
      <c r="N22" s="65" t="n">
        <f aca="false">((BS!N23-BS!M23)+(BS!N24-BS!M24)+(BS!N27-BS!M27)+(BS!N28-BS!M28))</f>
        <v>-68530.5412355293</v>
      </c>
      <c r="O22" s="65" t="n">
        <f aca="false">((BS!O23-BS!N23)+(BS!O24-BS!N24)+(BS!O27-BS!N27)+(BS!O28-BS!N28))</f>
        <v>113245.997433592</v>
      </c>
      <c r="P22" s="65" t="n">
        <f aca="false">((BS!P23-BS!O23)+(BS!P24-BS!O24)+(BS!P27-BS!O27)+(BS!P28-BS!O28))</f>
        <v>-126613.260595184</v>
      </c>
      <c r="Q22" s="65" t="n">
        <f aca="false">((BS!Q23-BS!P23)+(BS!Q24-BS!P24)+(BS!Q27-BS!P27)+(BS!Q28-BS!P28))</f>
        <v>-90009.4002695105</v>
      </c>
      <c r="R22" s="65" t="n">
        <f aca="false">((BS!R23-BS!Q23)+(BS!R24-BS!Q24)+(BS!R27-BS!Q27)+(BS!R28-BS!Q28))</f>
        <v>51351.7291004042</v>
      </c>
      <c r="S22" s="65" t="n">
        <f aca="false">((BS!S23-BS!R23)+(BS!S24-BS!R24)+(BS!S27-BS!R27)+(BS!S28-BS!R28))</f>
        <v>58270.8878549281</v>
      </c>
      <c r="T22" s="65" t="n">
        <f aca="false">((BS!T23-BS!S23)+(BS!T24-BS!S24)+(BS!T27-BS!S27)+(BS!T28-BS!S28))</f>
        <v>56947.1258407935</v>
      </c>
      <c r="U22" s="65" t="n">
        <f aca="false">((BS!U23-BS!T23)+(BS!U24-BS!T24)+(BS!U27-BS!T27)+(BS!U28-BS!T28))</f>
        <v>54102.2861910502</v>
      </c>
      <c r="V22" s="65" t="n">
        <f aca="false">((BS!V23-BS!U23)+(BS!V24-BS!U24)+(BS!V27-BS!U27)+(BS!V28-BS!U28))</f>
        <v>-205983.30712041</v>
      </c>
      <c r="W22" s="65" t="n">
        <f aca="false">((BS!W23-BS!V23)+(BS!W24-BS!V24)+(BS!W27-BS!V27)+(BS!W28-BS!V28))</f>
        <v>-7449.05619740225</v>
      </c>
      <c r="X22" s="65" t="n">
        <f aca="false">((BS!X23-BS!W23)+(BS!X24-BS!W24)+(BS!X27-BS!W27)+(BS!X28-BS!W28))</f>
        <v>54334.7533694358</v>
      </c>
      <c r="Y22" s="65" t="n">
        <f aca="false">((BS!Y23-BS!X23)+(BS!Y24-BS!X24)+(BS!Y27-BS!X27)+(BS!Y28-BS!X28))</f>
        <v>62778.4270657236</v>
      </c>
      <c r="Z22" s="65" t="n">
        <f aca="false">((BS!Z23-BS!Y23)+(BS!Z24-BS!Y24)+(BS!Z27-BS!Y27)+(BS!Z28-BS!Y28))</f>
        <v>57277.3080396834</v>
      </c>
      <c r="AA22" s="65" t="n">
        <f aca="false">((BS!AA23-BS!Z23)+(BS!AA24-BS!Z24)+(BS!AA27-BS!Z27)+(BS!AA28-BS!Z28))</f>
        <v>56709.4906101647</v>
      </c>
      <c r="AB22" s="65" t="n">
        <f aca="false">((BS!AB23-BS!AA23)+(BS!AB24-BS!AA24)+(BS!AB27-BS!AA27)+(BS!AB28-BS!AA28))</f>
        <v>-219324.436734438</v>
      </c>
    </row>
    <row r="23" customFormat="false" ht="15" hidden="false" customHeight="false" outlineLevel="0" collapsed="false">
      <c r="A23" s="28" t="s">
        <v>481</v>
      </c>
      <c r="B23" s="63" t="s">
        <v>473</v>
      </c>
      <c r="C23" s="64" t="n">
        <f aca="false">SUM(E23:P23)</f>
        <v>47305.2439977058</v>
      </c>
      <c r="D23" s="64" t="n">
        <f aca="false">SUM(Q23:AB23)</f>
        <v>-114643.426357241</v>
      </c>
      <c r="E23" s="65" t="n">
        <f aca="false">((BS!E26-Inputs_Actuals!$C$336)+(BS!E25-Inputs_Actuals!$C$335))</f>
        <v>-10217.306197</v>
      </c>
      <c r="F23" s="65" t="n">
        <f aca="false">((BS!F26-BS!E26)+(BS!F25-BS!E25))</f>
        <v>32562.175931</v>
      </c>
      <c r="G23" s="65" t="n">
        <f aca="false">((BS!G26-BS!F26)+(BS!G25-BS!F25))</f>
        <v>81427.487216</v>
      </c>
      <c r="H23" s="65" t="n">
        <f aca="false">((BS!H26-BS!G26)+(BS!H25-BS!G25))</f>
        <v>-149740.378803</v>
      </c>
      <c r="I23" s="65" t="n">
        <f aca="false">((BS!I26-BS!H26)+(BS!I25-BS!H25))</f>
        <v>47987.253683</v>
      </c>
      <c r="J23" s="65" t="n">
        <f aca="false">((BS!J26-BS!I26)+(BS!J25-BS!I25))</f>
        <v>72711.862487</v>
      </c>
      <c r="K23" s="65" t="n">
        <f aca="false">((BS!K26-BS!J26)+(BS!K25-BS!J25))</f>
        <v>-151591.203764</v>
      </c>
      <c r="L23" s="65" t="n">
        <f aca="false">((BS!L26-BS!K26)+(BS!L25-BS!K25))</f>
        <v>38335.653494</v>
      </c>
      <c r="M23" s="65" t="n">
        <f aca="false">((BS!M26-BS!L26)+(BS!M25-BS!L25))</f>
        <v>58392.9533745556</v>
      </c>
      <c r="N23" s="65" t="n">
        <f aca="false">((BS!N26-BS!M26)+(BS!N25-BS!M25))</f>
        <v>-82557.5015074853</v>
      </c>
      <c r="O23" s="65" t="n">
        <f aca="false">((BS!O26-BS!N26)+(BS!O25-BS!N25))</f>
        <v>70719.7224234076</v>
      </c>
      <c r="P23" s="65" t="n">
        <f aca="false">((BS!P26-BS!O26)+(BS!P25-BS!O25))</f>
        <v>39274.5256602279</v>
      </c>
      <c r="Q23" s="65" t="n">
        <f aca="false">((BS!Q26-BS!P26)+(BS!Q25-BS!P25))</f>
        <v>-58973.7191773959</v>
      </c>
      <c r="R23" s="65" t="n">
        <f aca="false">((BS!R26-BS!Q26)+(BS!R25-BS!Q25))</f>
        <v>-64888.9890661285</v>
      </c>
      <c r="S23" s="65" t="n">
        <f aca="false">((BS!S26-BS!R26)+(BS!S25-BS!R25))</f>
        <v>47380.9313418934</v>
      </c>
      <c r="T23" s="65" t="n">
        <f aca="false">((BS!T26-BS!S26)+(BS!T25-BS!S25))</f>
        <v>-501.182803087722</v>
      </c>
      <c r="U23" s="65" t="n">
        <f aca="false">((BS!U26-BS!T26)+(BS!U25-BS!T25))</f>
        <v>-36032.745708733</v>
      </c>
      <c r="V23" s="65" t="n">
        <f aca="false">((BS!V26-BS!U26)+(BS!V25-BS!U25))</f>
        <v>32703.5668367246</v>
      </c>
      <c r="W23" s="65" t="n">
        <f aca="false">((BS!W26-BS!V26)+(BS!W25-BS!V25))</f>
        <v>-26058.0932911304</v>
      </c>
      <c r="X23" s="65" t="n">
        <f aca="false">((BS!X26-BS!W26)+(BS!X25-BS!W25))</f>
        <v>-12858.4374418861</v>
      </c>
      <c r="Y23" s="65" t="n">
        <f aca="false">((BS!Y26-BS!X26)+(BS!Y25-BS!X25))</f>
        <v>22948.3848079217</v>
      </c>
      <c r="Z23" s="65" t="n">
        <f aca="false">((BS!Z26-BS!Y26)+(BS!Z25-BS!Y25))</f>
        <v>5422.92428056603</v>
      </c>
      <c r="AA23" s="65" t="n">
        <f aca="false">((BS!AA26-BS!Z26)+(BS!AA25-BS!Z25))</f>
        <v>8560.27678584597</v>
      </c>
      <c r="AB23" s="65" t="n">
        <f aca="false">((BS!AB26-BS!AA26)+(BS!AB25-BS!AA25))</f>
        <v>-32346.3429218311</v>
      </c>
    </row>
    <row r="24" customFormat="false" ht="15" hidden="false" customHeight="false" outlineLevel="0" collapsed="false">
      <c r="A24" s="59" t="s">
        <v>482</v>
      </c>
      <c r="B24" s="60"/>
      <c r="C24" s="61" t="n">
        <f aca="false">SUM(E24:P24)</f>
        <v>-293620.165362605</v>
      </c>
      <c r="D24" s="61" t="n">
        <f aca="false">SUM(Q24:AB24)</f>
        <v>43116.5939655316</v>
      </c>
      <c r="E24" s="61" t="n">
        <f aca="false">E14+E15+E16+E17+E18+E19+E20+E21+E22+E23</f>
        <v>-274105.6084</v>
      </c>
      <c r="F24" s="61" t="n">
        <f aca="false">F14+F15+F16+F17+F18+F19+F20+F21+F22+F23</f>
        <v>219703.79465</v>
      </c>
      <c r="G24" s="61" t="n">
        <f aca="false">G14+G15+G16+G17+G18+G19+G20+G21+G22+G23</f>
        <v>210614.55795</v>
      </c>
      <c r="H24" s="61" t="n">
        <f aca="false">H14+H15+H16+H17+H18+H19+H20+H21+H22+H23</f>
        <v>-340611.7508</v>
      </c>
      <c r="I24" s="61" t="n">
        <f aca="false">I14+I15+I16+I17+I18+I19+I20+I21+I22+I23</f>
        <v>259102.5649</v>
      </c>
      <c r="J24" s="61" t="n">
        <f aca="false">J14+J15+J16+J17+J18+J19+J20+J21+J22+J23</f>
        <v>-72623.8843500003</v>
      </c>
      <c r="K24" s="61" t="n">
        <f aca="false">K14+K15+K16+K17+K18+K19+K20+K21+K22+K23</f>
        <v>-348205.97795</v>
      </c>
      <c r="L24" s="61" t="n">
        <f aca="false">L14+L15+L16+L17+L18+L19+L20+L21+L22+L23</f>
        <v>136996.2141</v>
      </c>
      <c r="M24" s="61" t="n">
        <f aca="false">M14+M15+M16+M17+M18+M19+M20+M21+M22+M23</f>
        <v>47064.6521847269</v>
      </c>
      <c r="N24" s="61" t="n">
        <f aca="false">N14+N15+N16+N17+N18+N19+N20+N21+N22+N23</f>
        <v>-202974.450273733</v>
      </c>
      <c r="O24" s="61" t="n">
        <f aca="false">O14+O15+O16+O17+O18+O19+O20+O21+O22+O23</f>
        <v>170658.716409654</v>
      </c>
      <c r="P24" s="61" t="n">
        <f aca="false">P14+P15+P16+P17+P18+P19+P20+P21+P22+P23</f>
        <v>-99238.9937832524</v>
      </c>
      <c r="Q24" s="61" t="n">
        <f aca="false">Q14+Q15+Q16+Q17+Q18+Q19+Q20+Q21+Q22+Q23</f>
        <v>-236703.962576018</v>
      </c>
      <c r="R24" s="61" t="n">
        <f aca="false">R14+R15+R16+R17+R18+R19+R20+R21+R22+R23</f>
        <v>85262.1512567555</v>
      </c>
      <c r="S24" s="61" t="n">
        <f aca="false">S14+S15+S16+S17+S18+S19+S20+S21+S22+S23</f>
        <v>181877.706908328</v>
      </c>
      <c r="T24" s="61" t="n">
        <f aca="false">T14+T15+T16+T17+T18+T19+T20+T21+T22+T23</f>
        <v>-28097.6749447534</v>
      </c>
      <c r="U24" s="61" t="n">
        <f aca="false">U14+U15+U16+U17+U18+U19+U20+U21+U22+U23</f>
        <v>211107.741509409</v>
      </c>
      <c r="V24" s="61" t="n">
        <f aca="false">V14+V15+V16+V17+V18+V19+V20+V21+V22+V23</f>
        <v>-176119.880672152</v>
      </c>
      <c r="W24" s="61" t="n">
        <f aca="false">W14+W15+W16+W17+W18+W19+W20+W21+W22+W23</f>
        <v>-54161.7588785416</v>
      </c>
      <c r="X24" s="61" t="n">
        <f aca="false">X14+X15+X16+X17+X18+X19+X20+X21+X22+X23</f>
        <v>145702.260155574</v>
      </c>
      <c r="Y24" s="61" t="n">
        <f aca="false">Y14+Y15+Y16+Y17+Y18+Y19+Y20+Y21+Y22+Y23</f>
        <v>-5668.35269224317</v>
      </c>
      <c r="Z24" s="61" t="n">
        <f aca="false">Z14+Z15+Z16+Z17+Z18+Z19+Z20+Z21+Z22+Z23</f>
        <v>-11661.2151440227</v>
      </c>
      <c r="AA24" s="61" t="n">
        <f aca="false">AA14+AA15+AA16+AA17+AA18+AA19+AA20+AA21+AA22+AA23</f>
        <v>122117.182166158</v>
      </c>
      <c r="AB24" s="61" t="n">
        <f aca="false">AB14+AB15+AB16+AB17+AB18+AB19+AB20+AB21+AB22+AB23</f>
        <v>-190537.603122964</v>
      </c>
    </row>
    <row r="25" customFormat="false" ht="15" hidden="false" customHeight="false" outlineLevel="0" collapsed="false">
      <c r="A25" s="28" t="s">
        <v>483</v>
      </c>
      <c r="B25" s="63" t="s">
        <v>80</v>
      </c>
      <c r="C25" s="64" t="n">
        <f aca="false">SUM(E25:P25)</f>
        <v>-205138.8885</v>
      </c>
      <c r="D25" s="64" t="n">
        <f aca="false">SUM(Q25:AB25)</f>
        <v>-148749.9951</v>
      </c>
      <c r="E25" s="65" t="n">
        <f aca="false">-Financing!E11</f>
        <v>-17500</v>
      </c>
      <c r="F25" s="65" t="n">
        <f aca="false">-Financing!F11</f>
        <v>-17500</v>
      </c>
      <c r="G25" s="65" t="n">
        <f aca="false">-Financing!G11</f>
        <v>-17500</v>
      </c>
      <c r="H25" s="65" t="n">
        <f aca="false">-Financing!H11</f>
        <v>-17500</v>
      </c>
      <c r="I25" s="65" t="n">
        <f aca="false">-Financing!I11</f>
        <v>-17500</v>
      </c>
      <c r="J25" s="65" t="n">
        <f aca="false">-Financing!J11</f>
        <v>-17500</v>
      </c>
      <c r="K25" s="65" t="n">
        <f aca="false">-Financing!K11</f>
        <v>-17500</v>
      </c>
      <c r="L25" s="65" t="n">
        <f aca="false">-Financing!L11</f>
        <v>-17500</v>
      </c>
      <c r="M25" s="65" t="n">
        <f aca="false">-Financing!M11</f>
        <v>-17013.88885</v>
      </c>
      <c r="N25" s="65" t="n">
        <f aca="false">-Financing!N11</f>
        <v>-16527.7777</v>
      </c>
      <c r="O25" s="65" t="n">
        <f aca="false">-Financing!O11</f>
        <v>-16041.66655</v>
      </c>
      <c r="P25" s="65" t="n">
        <f aca="false">-Financing!P11</f>
        <v>-15555.5554</v>
      </c>
      <c r="Q25" s="65" t="n">
        <f aca="false">-Financing!Q11</f>
        <v>-15069.44425</v>
      </c>
      <c r="R25" s="65" t="n">
        <f aca="false">-Financing!R11</f>
        <v>-14583.3331</v>
      </c>
      <c r="S25" s="65" t="n">
        <f aca="false">-Financing!S11</f>
        <v>-14097.22195</v>
      </c>
      <c r="T25" s="65" t="n">
        <f aca="false">-Financing!T11</f>
        <v>-13611.1108</v>
      </c>
      <c r="U25" s="65" t="n">
        <f aca="false">-Financing!U11</f>
        <v>-13124.99965</v>
      </c>
      <c r="V25" s="65" t="n">
        <f aca="false">-Financing!V11</f>
        <v>-12638.8885</v>
      </c>
      <c r="W25" s="65" t="n">
        <f aca="false">-Financing!W11</f>
        <v>-12152.77735</v>
      </c>
      <c r="X25" s="65" t="n">
        <f aca="false">-Financing!X11</f>
        <v>-11666.6662</v>
      </c>
      <c r="Y25" s="65" t="n">
        <f aca="false">-Financing!Y11</f>
        <v>-11180.55505</v>
      </c>
      <c r="Z25" s="65" t="n">
        <f aca="false">-Financing!Z11</f>
        <v>-10694.4439</v>
      </c>
      <c r="AA25" s="65" t="n">
        <f aca="false">-Financing!AA11</f>
        <v>-10208.33275</v>
      </c>
      <c r="AB25" s="65" t="n">
        <f aca="false">-Financing!AB11</f>
        <v>-9722.22159999999</v>
      </c>
    </row>
    <row r="26" customFormat="false" ht="15" hidden="false" customHeight="false" outlineLevel="0" collapsed="false">
      <c r="A26" s="28" t="s">
        <v>484</v>
      </c>
      <c r="B26" s="63" t="s">
        <v>74</v>
      </c>
      <c r="C26" s="64" t="n">
        <f aca="false">SUM(E26:P26)</f>
        <v>0</v>
      </c>
      <c r="D26" s="64" t="n">
        <f aca="false">SUM(Q26:AB26)</f>
        <v>0</v>
      </c>
      <c r="E26" s="65" t="n">
        <f aca="false">-Tax!E27</f>
        <v>-0</v>
      </c>
      <c r="F26" s="65" t="n">
        <f aca="false">-Tax!F27</f>
        <v>-0</v>
      </c>
      <c r="G26" s="65" t="n">
        <f aca="false">-Tax!G27</f>
        <v>-0</v>
      </c>
      <c r="H26" s="65" t="n">
        <f aca="false">-Tax!H27</f>
        <v>-0</v>
      </c>
      <c r="I26" s="65" t="n">
        <f aca="false">-Tax!I27</f>
        <v>-0</v>
      </c>
      <c r="J26" s="65" t="n">
        <f aca="false">-Tax!J27</f>
        <v>-0</v>
      </c>
      <c r="K26" s="65" t="n">
        <f aca="false">-Tax!K27</f>
        <v>-0</v>
      </c>
      <c r="L26" s="65" t="n">
        <f aca="false">-Tax!L27</f>
        <v>-0</v>
      </c>
      <c r="M26" s="65" t="n">
        <f aca="false">-Tax!M27</f>
        <v>-0</v>
      </c>
      <c r="N26" s="65" t="n">
        <f aca="false">-Tax!N27</f>
        <v>-0</v>
      </c>
      <c r="O26" s="65" t="n">
        <f aca="false">-Tax!O27</f>
        <v>-0</v>
      </c>
      <c r="P26" s="65" t="n">
        <f aca="false">-Tax!P27</f>
        <v>-0</v>
      </c>
      <c r="Q26" s="65" t="n">
        <f aca="false">-Tax!Q27</f>
        <v>-0</v>
      </c>
      <c r="R26" s="65" t="n">
        <f aca="false">-Tax!R27</f>
        <v>-0</v>
      </c>
      <c r="S26" s="65" t="n">
        <f aca="false">-Tax!S27</f>
        <v>-0</v>
      </c>
      <c r="T26" s="65" t="n">
        <f aca="false">-Tax!T27</f>
        <v>-0</v>
      </c>
      <c r="U26" s="65" t="n">
        <f aca="false">-Tax!U27</f>
        <v>-0</v>
      </c>
      <c r="V26" s="65" t="n">
        <f aca="false">-Tax!V27</f>
        <v>-0</v>
      </c>
      <c r="W26" s="65" t="n">
        <f aca="false">-Tax!W27</f>
        <v>-0</v>
      </c>
      <c r="X26" s="65" t="n">
        <f aca="false">-Tax!X27</f>
        <v>-0</v>
      </c>
      <c r="Y26" s="65" t="n">
        <f aca="false">-Tax!Y27</f>
        <v>-0</v>
      </c>
      <c r="Z26" s="65" t="n">
        <f aca="false">-Tax!Z27</f>
        <v>-0</v>
      </c>
      <c r="AA26" s="65" t="n">
        <f aca="false">-Tax!AA27</f>
        <v>-0</v>
      </c>
      <c r="AB26" s="65" t="n">
        <f aca="false">-Tax!AB27</f>
        <v>-0</v>
      </c>
    </row>
    <row r="27" customFormat="false" ht="15" hidden="false" customHeight="false" outlineLevel="0" collapsed="false">
      <c r="A27" s="59" t="s">
        <v>485</v>
      </c>
      <c r="B27" s="60"/>
      <c r="C27" s="61" t="n">
        <f aca="false">SUM(E27:P27)</f>
        <v>-498759.053862605</v>
      </c>
      <c r="D27" s="61" t="n">
        <f aca="false">SUM(Q27:AB27)</f>
        <v>-105633.401134468</v>
      </c>
      <c r="E27" s="61" t="n">
        <f aca="false">E24+E25+E26</f>
        <v>-291605.6084</v>
      </c>
      <c r="F27" s="61" t="n">
        <f aca="false">F24+F25+F26</f>
        <v>202203.79465</v>
      </c>
      <c r="G27" s="61" t="n">
        <f aca="false">G24+G25+G26</f>
        <v>193114.55795</v>
      </c>
      <c r="H27" s="61" t="n">
        <f aca="false">H24+H25+H26</f>
        <v>-358111.7508</v>
      </c>
      <c r="I27" s="61" t="n">
        <f aca="false">I24+I25+I26</f>
        <v>241602.5649</v>
      </c>
      <c r="J27" s="61" t="n">
        <f aca="false">J24+J25+J26</f>
        <v>-90123.8843500003</v>
      </c>
      <c r="K27" s="61" t="n">
        <f aca="false">K24+K25+K26</f>
        <v>-365705.97795</v>
      </c>
      <c r="L27" s="61" t="n">
        <f aca="false">L24+L25+L26</f>
        <v>119496.2141</v>
      </c>
      <c r="M27" s="61" t="n">
        <f aca="false">M24+M25+M26</f>
        <v>30050.7633347269</v>
      </c>
      <c r="N27" s="61" t="n">
        <f aca="false">N24+N25+N26</f>
        <v>-219502.227973733</v>
      </c>
      <c r="O27" s="61" t="n">
        <f aca="false">O24+O25+O26</f>
        <v>154617.049859654</v>
      </c>
      <c r="P27" s="61" t="n">
        <f aca="false">P24+P25+P26</f>
        <v>-114794.549183252</v>
      </c>
      <c r="Q27" s="61" t="n">
        <f aca="false">Q24+Q25+Q26</f>
        <v>-251773.406826018</v>
      </c>
      <c r="R27" s="61" t="n">
        <f aca="false">R24+R25+R26</f>
        <v>70678.8181567555</v>
      </c>
      <c r="S27" s="61" t="n">
        <f aca="false">S24+S25+S26</f>
        <v>167780.484958328</v>
      </c>
      <c r="T27" s="61" t="n">
        <f aca="false">T24+T25+T26</f>
        <v>-41708.7857447534</v>
      </c>
      <c r="U27" s="61" t="n">
        <f aca="false">U24+U25+U26</f>
        <v>197982.741859409</v>
      </c>
      <c r="V27" s="61" t="n">
        <f aca="false">V24+V25+V26</f>
        <v>-188758.769172152</v>
      </c>
      <c r="W27" s="61" t="n">
        <f aca="false">W24+W25+W26</f>
        <v>-66314.5362285416</v>
      </c>
      <c r="X27" s="61" t="n">
        <f aca="false">X24+X25+X26</f>
        <v>134035.593955574</v>
      </c>
      <c r="Y27" s="61" t="n">
        <f aca="false">Y24+Y25+Y26</f>
        <v>-16848.9077422432</v>
      </c>
      <c r="Z27" s="61" t="n">
        <f aca="false">Z24+Z25+Z26</f>
        <v>-22355.6590440227</v>
      </c>
      <c r="AA27" s="61" t="n">
        <f aca="false">AA24+AA25+AA26</f>
        <v>111908.849416158</v>
      </c>
      <c r="AB27" s="61" t="n">
        <f aca="false">AB24+AB25+AB26</f>
        <v>-200259.824722964</v>
      </c>
    </row>
    <row r="28" customFormat="false" ht="15" hidden="false" customHeight="false" outlineLevel="0" collapsed="false">
      <c r="A28" s="22" t="s">
        <v>486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487</v>
      </c>
      <c r="B29" s="63" t="s">
        <v>78</v>
      </c>
      <c r="C29" s="64" t="n">
        <f aca="false">SUM(E29:P29)</f>
        <v>-63920.2809722222</v>
      </c>
      <c r="D29" s="64" t="n">
        <f aca="false">SUM(Q29:AB29)</f>
        <v>-88836.6707997689</v>
      </c>
      <c r="E29" s="65" t="n">
        <f aca="false">-Fixed_Assets!E8</f>
        <v>-4944.37</v>
      </c>
      <c r="F29" s="65" t="n">
        <f aca="false">-Fixed_Assets!F8</f>
        <v>-6372.97</v>
      </c>
      <c r="G29" s="65" t="n">
        <f aca="false">-Fixed_Assets!G8</f>
        <v>-6607.21</v>
      </c>
      <c r="H29" s="65" t="n">
        <f aca="false">-Fixed_Assets!H8</f>
        <v>-6672.68</v>
      </c>
      <c r="I29" s="65" t="n">
        <f aca="false">-Fixed_Assets!I8</f>
        <v>-6014.03</v>
      </c>
      <c r="J29" s="65" t="n">
        <f aca="false">-Fixed_Assets!J8</f>
        <v>-4943.4</v>
      </c>
      <c r="K29" s="65" t="n">
        <f aca="false">-Fixed_Assets!K8</f>
        <v>-4701.37</v>
      </c>
      <c r="L29" s="65" t="n">
        <f aca="false">-Fixed_Assets!L8</f>
        <v>-2439.12</v>
      </c>
      <c r="M29" s="65" t="n">
        <f aca="false">-Fixed_Assets!M8</f>
        <v>-4700</v>
      </c>
      <c r="N29" s="65" t="n">
        <f aca="false">-Fixed_Assets!N8</f>
        <v>-4700</v>
      </c>
      <c r="O29" s="65" t="n">
        <f aca="false">-Fixed_Assets!O8</f>
        <v>-6869.16666666667</v>
      </c>
      <c r="P29" s="65" t="n">
        <f aca="false">-Fixed_Assets!P8</f>
        <v>-4955.96430555556</v>
      </c>
      <c r="Q29" s="65" t="n">
        <f aca="false">-Fixed_Assets!Q8</f>
        <v>-18247.8600358796</v>
      </c>
      <c r="R29" s="65" t="n">
        <f aca="false">-Fixed_Assets!R8</f>
        <v>-4988.02476511352</v>
      </c>
      <c r="S29" s="65" t="n">
        <f aca="false">-Fixed_Assets!S8</f>
        <v>-8787.41957410988</v>
      </c>
      <c r="T29" s="65" t="n">
        <f aca="false">-Fixed_Assets!T8</f>
        <v>-7062.34263783353</v>
      </c>
      <c r="U29" s="65" t="n">
        <f aca="false">-Fixed_Assets!U8</f>
        <v>-8959.72333664559</v>
      </c>
      <c r="V29" s="65" t="n">
        <f aca="false">-Fixed_Assets!V8</f>
        <v>-5220.470095156</v>
      </c>
      <c r="W29" s="65" t="n">
        <f aca="false">-Fixed_Assets!W8</f>
        <v>-5238.43654738091</v>
      </c>
      <c r="X29" s="65" t="n">
        <f aca="false">-Fixed_Assets!X8</f>
        <v>-5300.52131718576</v>
      </c>
      <c r="Y29" s="65" t="n">
        <f aca="false">-Fixed_Assets!Y8</f>
        <v>-9099.25067267178</v>
      </c>
      <c r="Z29" s="65" t="n">
        <f aca="false">-Fixed_Assets!Z8</f>
        <v>-5298.17277656278</v>
      </c>
      <c r="AA29" s="65" t="n">
        <f aca="false">-Fixed_Assets!AA8</f>
        <v>-5298.21487758998</v>
      </c>
      <c r="AB29" s="65" t="n">
        <f aca="false">-Fixed_Assets!AB8</f>
        <v>-5336.23416363957</v>
      </c>
    </row>
    <row r="30" customFormat="false" ht="15" hidden="false" customHeight="false" outlineLevel="0" collapsed="false">
      <c r="A30" s="28" t="s">
        <v>488</v>
      </c>
      <c r="B30" s="63" t="s">
        <v>62</v>
      </c>
      <c r="C30" s="64" t="n">
        <f aca="false">SUM(E30:P30)</f>
        <v>-664452.381782249</v>
      </c>
      <c r="D30" s="64" t="n">
        <f aca="false">SUM(Q30:AB30)</f>
        <v>-792662.928074075</v>
      </c>
      <c r="E30" s="65" t="n">
        <f aca="false">-Capitalised_Costs!E9</f>
        <v>-51201.84</v>
      </c>
      <c r="F30" s="65" t="n">
        <f aca="false">-Capitalised_Costs!F9</f>
        <v>-52861.28</v>
      </c>
      <c r="G30" s="65" t="n">
        <f aca="false">-Capitalised_Costs!G9</f>
        <v>-54702.12</v>
      </c>
      <c r="H30" s="65" t="n">
        <f aca="false">-Capitalised_Costs!H9</f>
        <v>-55111.3</v>
      </c>
      <c r="I30" s="65" t="n">
        <f aca="false">-Capitalised_Costs!I9</f>
        <v>-56274.22</v>
      </c>
      <c r="J30" s="65" t="n">
        <f aca="false">-Capitalised_Costs!J9</f>
        <v>-56334.75</v>
      </c>
      <c r="K30" s="65" t="n">
        <f aca="false">-Capitalised_Costs!K9</f>
        <v>-55867.45</v>
      </c>
      <c r="L30" s="65" t="n">
        <f aca="false">-Capitalised_Costs!L9</f>
        <v>-56049.6</v>
      </c>
      <c r="M30" s="65" t="n">
        <f aca="false">-Capitalised_Costs!M9</f>
        <v>-56940.1810928896</v>
      </c>
      <c r="N30" s="65" t="n">
        <f aca="false">-Capitalised_Costs!N9</f>
        <v>-56370.7792819607</v>
      </c>
      <c r="O30" s="65" t="n">
        <f aca="false">-Capitalised_Costs!O9</f>
        <v>-56366.5626112915</v>
      </c>
      <c r="P30" s="65" t="n">
        <f aca="false">-Capitalised_Costs!P9</f>
        <v>-56372.2987961075</v>
      </c>
      <c r="Q30" s="65" t="n">
        <f aca="false">-Capitalised_Costs!Q9</f>
        <v>-64226.2796790597</v>
      </c>
      <c r="R30" s="65" t="n">
        <f aca="false">-Capitalised_Costs!R9</f>
        <v>-64167.8276568616</v>
      </c>
      <c r="S30" s="65" t="n">
        <f aca="false">-Capitalised_Costs!S9</f>
        <v>-64110.0195666408</v>
      </c>
      <c r="T30" s="65" t="n">
        <f aca="false">-Capitalised_Costs!T9</f>
        <v>-65716.983287765</v>
      </c>
      <c r="U30" s="65" t="n">
        <f aca="false">-Capitalised_Costs!U9</f>
        <v>-65701.4917314559</v>
      </c>
      <c r="V30" s="65" t="n">
        <f aca="false">-Capitalised_Costs!V9</f>
        <v>-65685.5770098078</v>
      </c>
      <c r="W30" s="65" t="n">
        <f aca="false">-Capitalised_Costs!W9</f>
        <v>-65685.8910725874</v>
      </c>
      <c r="X30" s="65" t="n">
        <f aca="false">-Capitalised_Costs!X9</f>
        <v>-65686.047079176</v>
      </c>
      <c r="Y30" s="65" t="n">
        <f aca="false">-Capitalised_Costs!Y9</f>
        <v>-67948.7621384824</v>
      </c>
      <c r="Z30" s="65" t="n">
        <f aca="false">-Capitalised_Costs!Z9</f>
        <v>-67926.1334278234</v>
      </c>
      <c r="AA30" s="65" t="n">
        <f aca="false">-Capitalised_Costs!AA9</f>
        <v>-67903.7325643369</v>
      </c>
      <c r="AB30" s="65" t="n">
        <f aca="false">-Capitalised_Costs!AB9</f>
        <v>-67904.1828600784</v>
      </c>
    </row>
    <row r="31" customFormat="false" ht="15" hidden="false" customHeight="false" outlineLevel="0" collapsed="false">
      <c r="A31" s="59" t="s">
        <v>489</v>
      </c>
      <c r="B31" s="60"/>
      <c r="C31" s="61" t="n">
        <f aca="false">SUM(E31:P31)</f>
        <v>-728372.662754471</v>
      </c>
      <c r="D31" s="61" t="n">
        <f aca="false">SUM(Q31:AB31)</f>
        <v>-881499.598873844</v>
      </c>
      <c r="E31" s="61" t="n">
        <f aca="false">E29+E30</f>
        <v>-56146.21</v>
      </c>
      <c r="F31" s="61" t="n">
        <f aca="false">F29+F30</f>
        <v>-59234.25</v>
      </c>
      <c r="G31" s="61" t="n">
        <f aca="false">G29+G30</f>
        <v>-61309.33</v>
      </c>
      <c r="H31" s="61" t="n">
        <f aca="false">H29+H30</f>
        <v>-61783.98</v>
      </c>
      <c r="I31" s="61" t="n">
        <f aca="false">I29+I30</f>
        <v>-62288.25</v>
      </c>
      <c r="J31" s="61" t="n">
        <f aca="false">J29+J30</f>
        <v>-61278.15</v>
      </c>
      <c r="K31" s="61" t="n">
        <f aca="false">K29+K30</f>
        <v>-60568.82</v>
      </c>
      <c r="L31" s="61" t="n">
        <f aca="false">L29+L30</f>
        <v>-58488.72</v>
      </c>
      <c r="M31" s="61" t="n">
        <f aca="false">M29+M30</f>
        <v>-61640.1810928896</v>
      </c>
      <c r="N31" s="61" t="n">
        <f aca="false">N29+N30</f>
        <v>-61070.7792819607</v>
      </c>
      <c r="O31" s="61" t="n">
        <f aca="false">O29+O30</f>
        <v>-63235.7292779582</v>
      </c>
      <c r="P31" s="61" t="n">
        <f aca="false">P29+P30</f>
        <v>-61328.263101663</v>
      </c>
      <c r="Q31" s="61" t="n">
        <f aca="false">Q29+Q30</f>
        <v>-82474.1397149394</v>
      </c>
      <c r="R31" s="61" t="n">
        <f aca="false">R29+R30</f>
        <v>-69155.8524219751</v>
      </c>
      <c r="S31" s="61" t="n">
        <f aca="false">S29+S30</f>
        <v>-72897.4391407507</v>
      </c>
      <c r="T31" s="61" t="n">
        <f aca="false">T29+T30</f>
        <v>-72779.3259255985</v>
      </c>
      <c r="U31" s="61" t="n">
        <f aca="false">U29+U30</f>
        <v>-74661.2150681015</v>
      </c>
      <c r="V31" s="61" t="n">
        <f aca="false">V29+V30</f>
        <v>-70906.0471049638</v>
      </c>
      <c r="W31" s="61" t="n">
        <f aca="false">W29+W30</f>
        <v>-70924.3276199683</v>
      </c>
      <c r="X31" s="61" t="n">
        <f aca="false">X29+X30</f>
        <v>-70986.5683963618</v>
      </c>
      <c r="Y31" s="61" t="n">
        <f aca="false">Y29+Y30</f>
        <v>-77048.0128111541</v>
      </c>
      <c r="Z31" s="61" t="n">
        <f aca="false">Z29+Z30</f>
        <v>-73224.3062043862</v>
      </c>
      <c r="AA31" s="61" t="n">
        <f aca="false">AA29+AA30</f>
        <v>-73201.9474419269</v>
      </c>
      <c r="AB31" s="61" t="n">
        <f aca="false">AB29+AB30</f>
        <v>-73240.417023718</v>
      </c>
    </row>
    <row r="32" customFormat="false" ht="15" hidden="false" customHeight="false" outlineLevel="0" collapsed="false">
      <c r="A32" s="22" t="s">
        <v>490</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row>
    <row r="33" customFormat="false" ht="15" hidden="false" customHeight="false" outlineLevel="0" collapsed="false">
      <c r="A33" s="28" t="s">
        <v>491</v>
      </c>
      <c r="B33" s="63" t="s">
        <v>80</v>
      </c>
      <c r="C33" s="64" t="n">
        <f aca="false">SUM(E33:P33)</f>
        <v>-277777.8</v>
      </c>
      <c r="D33" s="64" t="n">
        <f aca="false">SUM(Q33:AB33)</f>
        <v>-666666.72</v>
      </c>
      <c r="E33" s="65" t="n">
        <f aca="false">-Financing!E9</f>
        <v>-0</v>
      </c>
      <c r="F33" s="65" t="n">
        <f aca="false">-Financing!F9</f>
        <v>-0</v>
      </c>
      <c r="G33" s="65" t="n">
        <f aca="false">-Financing!G9</f>
        <v>-0</v>
      </c>
      <c r="H33" s="65" t="n">
        <f aca="false">-Financing!H9</f>
        <v>-0</v>
      </c>
      <c r="I33" s="65" t="n">
        <f aca="false">-Financing!I9</f>
        <v>-0</v>
      </c>
      <c r="J33" s="65" t="n">
        <f aca="false">-Financing!J9</f>
        <v>-0</v>
      </c>
      <c r="K33" s="65" t="n">
        <f aca="false">-Financing!K9</f>
        <v>-0</v>
      </c>
      <c r="L33" s="65" t="n">
        <f aca="false">-Financing!L9</f>
        <v>-55555.56</v>
      </c>
      <c r="M33" s="65" t="n">
        <f aca="false">-Financing!M9</f>
        <v>-55555.56</v>
      </c>
      <c r="N33" s="65" t="n">
        <f aca="false">-Financing!N9</f>
        <v>-55555.56</v>
      </c>
      <c r="O33" s="65" t="n">
        <f aca="false">-Financing!O9</f>
        <v>-55555.56</v>
      </c>
      <c r="P33" s="65" t="n">
        <f aca="false">-Financing!P9</f>
        <v>-55555.56</v>
      </c>
      <c r="Q33" s="65" t="n">
        <f aca="false">-Financing!Q9</f>
        <v>-55555.56</v>
      </c>
      <c r="R33" s="65" t="n">
        <f aca="false">-Financing!R9</f>
        <v>-55555.56</v>
      </c>
      <c r="S33" s="65" t="n">
        <f aca="false">-Financing!S9</f>
        <v>-55555.56</v>
      </c>
      <c r="T33" s="65" t="n">
        <f aca="false">-Financing!T9</f>
        <v>-55555.56</v>
      </c>
      <c r="U33" s="65" t="n">
        <f aca="false">-Financing!U9</f>
        <v>-55555.56</v>
      </c>
      <c r="V33" s="65" t="n">
        <f aca="false">-Financing!V9</f>
        <v>-55555.56</v>
      </c>
      <c r="W33" s="65" t="n">
        <f aca="false">-Financing!W9</f>
        <v>-55555.56</v>
      </c>
      <c r="X33" s="65" t="n">
        <f aca="false">-Financing!X9</f>
        <v>-55555.56</v>
      </c>
      <c r="Y33" s="65" t="n">
        <f aca="false">-Financing!Y9</f>
        <v>-55555.56</v>
      </c>
      <c r="Z33" s="65" t="n">
        <f aca="false">-Financing!Z9</f>
        <v>-55555.56</v>
      </c>
      <c r="AA33" s="65" t="n">
        <f aca="false">-Financing!AA9</f>
        <v>-55555.56</v>
      </c>
      <c r="AB33" s="65" t="n">
        <f aca="false">-Financing!AB9</f>
        <v>-55555.56</v>
      </c>
    </row>
    <row r="34" customFormat="false" ht="15" hidden="false" customHeight="false" outlineLevel="0" collapsed="false">
      <c r="A34" s="59" t="s">
        <v>492</v>
      </c>
      <c r="B34" s="60"/>
      <c r="C34" s="61" t="n">
        <f aca="false">SUM(E34:P34)</f>
        <v>-277777.8</v>
      </c>
      <c r="D34" s="61" t="n">
        <f aca="false">SUM(Q34:AB34)</f>
        <v>-666666.72</v>
      </c>
      <c r="E34" s="61" t="n">
        <f aca="false">E33</f>
        <v>-0</v>
      </c>
      <c r="F34" s="61" t="n">
        <f aca="false">F33</f>
        <v>-0</v>
      </c>
      <c r="G34" s="61" t="n">
        <f aca="false">G33</f>
        <v>-0</v>
      </c>
      <c r="H34" s="61" t="n">
        <f aca="false">H33</f>
        <v>-0</v>
      </c>
      <c r="I34" s="61" t="n">
        <f aca="false">I33</f>
        <v>-0</v>
      </c>
      <c r="J34" s="61" t="n">
        <f aca="false">J33</f>
        <v>-0</v>
      </c>
      <c r="K34" s="61" t="n">
        <f aca="false">K33</f>
        <v>-0</v>
      </c>
      <c r="L34" s="61" t="n">
        <f aca="false">L33</f>
        <v>-55555.56</v>
      </c>
      <c r="M34" s="61" t="n">
        <f aca="false">M33</f>
        <v>-55555.56</v>
      </c>
      <c r="N34" s="61" t="n">
        <f aca="false">N33</f>
        <v>-55555.56</v>
      </c>
      <c r="O34" s="61" t="n">
        <f aca="false">O33</f>
        <v>-55555.56</v>
      </c>
      <c r="P34" s="61" t="n">
        <f aca="false">P33</f>
        <v>-55555.56</v>
      </c>
      <c r="Q34" s="61" t="n">
        <f aca="false">Q33</f>
        <v>-55555.56</v>
      </c>
      <c r="R34" s="61" t="n">
        <f aca="false">R33</f>
        <v>-55555.56</v>
      </c>
      <c r="S34" s="61" t="n">
        <f aca="false">S33</f>
        <v>-55555.56</v>
      </c>
      <c r="T34" s="61" t="n">
        <f aca="false">T33</f>
        <v>-55555.56</v>
      </c>
      <c r="U34" s="61" t="n">
        <f aca="false">U33</f>
        <v>-55555.56</v>
      </c>
      <c r="V34" s="61" t="n">
        <f aca="false">V33</f>
        <v>-55555.56</v>
      </c>
      <c r="W34" s="61" t="n">
        <f aca="false">W33</f>
        <v>-55555.56</v>
      </c>
      <c r="X34" s="61" t="n">
        <f aca="false">X33</f>
        <v>-55555.56</v>
      </c>
      <c r="Y34" s="61" t="n">
        <f aca="false">Y33</f>
        <v>-55555.56</v>
      </c>
      <c r="Z34" s="61" t="n">
        <f aca="false">Z33</f>
        <v>-55555.56</v>
      </c>
      <c r="AA34" s="61" t="n">
        <f aca="false">AA33</f>
        <v>-55555.56</v>
      </c>
      <c r="AB34" s="61" t="n">
        <f aca="false">AB33</f>
        <v>-55555.56</v>
      </c>
    </row>
    <row r="35" customFormat="false" ht="15" hidden="false" customHeight="false" outlineLevel="0" collapsed="false">
      <c r="A35" s="22" t="s">
        <v>493</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row>
    <row r="36" customFormat="false" ht="15" hidden="false" customHeight="false" outlineLevel="0" collapsed="false">
      <c r="A36" s="59" t="s">
        <v>494</v>
      </c>
      <c r="B36" s="60"/>
      <c r="C36" s="61" t="n">
        <f aca="false">SUM(E36:P36)</f>
        <v>-1504909.51661708</v>
      </c>
      <c r="D36" s="61" t="n">
        <f aca="false">SUM(Q36:AB36)</f>
        <v>-1653799.72000831</v>
      </c>
      <c r="E36" s="61" t="n">
        <f aca="false">E27+E31+E34</f>
        <v>-347751.8184</v>
      </c>
      <c r="F36" s="61" t="n">
        <f aca="false">F27+F31+F34</f>
        <v>142969.54465</v>
      </c>
      <c r="G36" s="61" t="n">
        <f aca="false">G27+G31+G34</f>
        <v>131805.22795</v>
      </c>
      <c r="H36" s="61" t="n">
        <f aca="false">H27+H31+H34</f>
        <v>-419895.7308</v>
      </c>
      <c r="I36" s="61" t="n">
        <f aca="false">I27+I31+I34</f>
        <v>179314.3149</v>
      </c>
      <c r="J36" s="61" t="n">
        <f aca="false">J27+J31+J34</f>
        <v>-151402.03435</v>
      </c>
      <c r="K36" s="61" t="n">
        <f aca="false">K27+K31+K34</f>
        <v>-426274.79795</v>
      </c>
      <c r="L36" s="61" t="n">
        <f aca="false">L27+L31+L34</f>
        <v>5451.93409999987</v>
      </c>
      <c r="M36" s="61" t="n">
        <f aca="false">M27+M31+M34</f>
        <v>-87144.9777581627</v>
      </c>
      <c r="N36" s="61" t="n">
        <f aca="false">N27+N31+N34</f>
        <v>-336128.567255694</v>
      </c>
      <c r="O36" s="61" t="n">
        <f aca="false">O27+O31+O34</f>
        <v>35825.7605816957</v>
      </c>
      <c r="P36" s="61" t="n">
        <f aca="false">P27+P31+P34</f>
        <v>-231678.372284915</v>
      </c>
      <c r="Q36" s="61" t="n">
        <f aca="false">Q27+Q31+Q34</f>
        <v>-389803.106540957</v>
      </c>
      <c r="R36" s="61" t="n">
        <f aca="false">R27+R31+R34</f>
        <v>-54032.5942652196</v>
      </c>
      <c r="S36" s="61" t="n">
        <f aca="false">S27+S31+S34</f>
        <v>39327.4858175777</v>
      </c>
      <c r="T36" s="61" t="n">
        <f aca="false">T27+T31+T34</f>
        <v>-170043.671670352</v>
      </c>
      <c r="U36" s="61" t="n">
        <f aca="false">U27+U31+U34</f>
        <v>67765.9667913079</v>
      </c>
      <c r="V36" s="61" t="n">
        <f aca="false">V27+V31+V34</f>
        <v>-315220.376277116</v>
      </c>
      <c r="W36" s="61" t="n">
        <f aca="false">W27+W31+W34</f>
        <v>-192794.42384851</v>
      </c>
      <c r="X36" s="61" t="n">
        <f aca="false">X27+X31+X34</f>
        <v>7493.4655592121</v>
      </c>
      <c r="Y36" s="61" t="n">
        <f aca="false">Y27+Y31+Y34</f>
        <v>-149452.480553397</v>
      </c>
      <c r="Z36" s="61" t="n">
        <f aca="false">Z27+Z31+Z34</f>
        <v>-151135.525248409</v>
      </c>
      <c r="AA36" s="61" t="n">
        <f aca="false">AA27+AA31+AA34</f>
        <v>-16848.6580257686</v>
      </c>
      <c r="AB36" s="61" t="n">
        <f aca="false">AB27+AB31+AB34</f>
        <v>-329055.801746682</v>
      </c>
    </row>
    <row r="37" customFormat="false" ht="15" hidden="false" customHeight="false" outlineLevel="0" collapsed="false">
      <c r="A37" s="28" t="s">
        <v>495</v>
      </c>
      <c r="B37" s="63"/>
      <c r="E37" s="65" t="n">
        <f aca="false">Inputs_Actuals!$C$317</f>
        <v>5200000</v>
      </c>
      <c r="F37" s="74" t="n">
        <f aca="false">E38</f>
        <v>4852248.1816</v>
      </c>
      <c r="G37" s="74" t="n">
        <f aca="false">F38</f>
        <v>4995217.72625</v>
      </c>
      <c r="H37" s="74" t="n">
        <f aca="false">G38</f>
        <v>5127022.9542</v>
      </c>
      <c r="I37" s="74" t="n">
        <f aca="false">H38</f>
        <v>4707127.2234</v>
      </c>
      <c r="J37" s="74" t="n">
        <f aca="false">I38</f>
        <v>4886441.5383</v>
      </c>
      <c r="K37" s="74" t="n">
        <f aca="false">J38</f>
        <v>4735039.50395</v>
      </c>
      <c r="L37" s="74" t="n">
        <f aca="false">K38</f>
        <v>4308764.706</v>
      </c>
      <c r="M37" s="74" t="n">
        <f aca="false">L38</f>
        <v>4314216.6401</v>
      </c>
      <c r="N37" s="74" t="n">
        <f aca="false">M38</f>
        <v>4227071.66234184</v>
      </c>
      <c r="O37" s="74" t="n">
        <f aca="false">N38</f>
        <v>3890943.09508614</v>
      </c>
      <c r="P37" s="74" t="n">
        <f aca="false">O38</f>
        <v>3926768.85566784</v>
      </c>
      <c r="Q37" s="74" t="n">
        <f aca="false">P38</f>
        <v>3695090.48338292</v>
      </c>
      <c r="R37" s="74" t="n">
        <f aca="false">Q38</f>
        <v>3305287.37684197</v>
      </c>
      <c r="S37" s="74" t="n">
        <f aca="false">R38</f>
        <v>3251254.78257675</v>
      </c>
      <c r="T37" s="74" t="n">
        <f aca="false">S38</f>
        <v>3290582.26839432</v>
      </c>
      <c r="U37" s="74" t="n">
        <f aca="false">T38</f>
        <v>3120538.59672397</v>
      </c>
      <c r="V37" s="74" t="n">
        <f aca="false">U38</f>
        <v>3188304.56351528</v>
      </c>
      <c r="W37" s="74" t="n">
        <f aca="false">V38</f>
        <v>2873084.18723816</v>
      </c>
      <c r="X37" s="74" t="n">
        <f aca="false">W38</f>
        <v>2680289.76338965</v>
      </c>
      <c r="Y37" s="74" t="n">
        <f aca="false">X38</f>
        <v>2687783.22894887</v>
      </c>
      <c r="Z37" s="74" t="n">
        <f aca="false">Y38</f>
        <v>2538330.74839547</v>
      </c>
      <c r="AA37" s="74" t="n">
        <f aca="false">Z38</f>
        <v>2387195.22314706</v>
      </c>
      <c r="AB37" s="74" t="n">
        <f aca="false">AA38</f>
        <v>2370346.56512129</v>
      </c>
    </row>
    <row r="38" customFormat="false" ht="15" hidden="false" customHeight="false" outlineLevel="0" collapsed="false">
      <c r="A38" s="59" t="s">
        <v>496</v>
      </c>
      <c r="B38" s="60"/>
      <c r="C38" s="61" t="n">
        <f aca="false">P38</f>
        <v>3695090.48338292</v>
      </c>
      <c r="D38" s="61" t="n">
        <f aca="false">AB38</f>
        <v>2041290.76337461</v>
      </c>
      <c r="E38" s="61" t="n">
        <f aca="false">E37+E36</f>
        <v>4852248.1816</v>
      </c>
      <c r="F38" s="61" t="n">
        <f aca="false">F37+F36</f>
        <v>4995217.72625</v>
      </c>
      <c r="G38" s="61" t="n">
        <f aca="false">G37+G36</f>
        <v>5127022.9542</v>
      </c>
      <c r="H38" s="61" t="n">
        <f aca="false">H37+H36</f>
        <v>4707127.2234</v>
      </c>
      <c r="I38" s="61" t="n">
        <f aca="false">I37+I36</f>
        <v>4886441.5383</v>
      </c>
      <c r="J38" s="61" t="n">
        <f aca="false">J37+J36</f>
        <v>4735039.50395</v>
      </c>
      <c r="K38" s="61" t="n">
        <f aca="false">K37+K36</f>
        <v>4308764.706</v>
      </c>
      <c r="L38" s="61" t="n">
        <f aca="false">L37+L36</f>
        <v>4314216.6401</v>
      </c>
      <c r="M38" s="61" t="n">
        <f aca="false">M37+M36</f>
        <v>4227071.66234184</v>
      </c>
      <c r="N38" s="61" t="n">
        <f aca="false">N37+N36</f>
        <v>3890943.09508614</v>
      </c>
      <c r="O38" s="61" t="n">
        <f aca="false">O37+O36</f>
        <v>3926768.85566784</v>
      </c>
      <c r="P38" s="61" t="n">
        <f aca="false">P37+P36</f>
        <v>3695090.48338292</v>
      </c>
      <c r="Q38" s="61" t="n">
        <f aca="false">Q37+Q36</f>
        <v>3305287.37684197</v>
      </c>
      <c r="R38" s="61" t="n">
        <f aca="false">R37+R36</f>
        <v>3251254.78257675</v>
      </c>
      <c r="S38" s="61" t="n">
        <f aca="false">S37+S36</f>
        <v>3290582.26839432</v>
      </c>
      <c r="T38" s="61" t="n">
        <f aca="false">T37+T36</f>
        <v>3120538.59672397</v>
      </c>
      <c r="U38" s="61" t="n">
        <f aca="false">U37+U36</f>
        <v>3188304.56351528</v>
      </c>
      <c r="V38" s="61" t="n">
        <f aca="false">V37+V36</f>
        <v>2873084.18723816</v>
      </c>
      <c r="W38" s="61" t="n">
        <f aca="false">W37+W36</f>
        <v>2680289.76338965</v>
      </c>
      <c r="X38" s="61" t="n">
        <f aca="false">X37+X36</f>
        <v>2687783.22894887</v>
      </c>
      <c r="Y38" s="61" t="n">
        <f aca="false">Y37+Y36</f>
        <v>2538330.74839547</v>
      </c>
      <c r="Z38" s="61" t="n">
        <f aca="false">Z37+Z36</f>
        <v>2387195.22314706</v>
      </c>
      <c r="AA38" s="61" t="n">
        <f aca="false">AA37+AA36</f>
        <v>2370346.56512129</v>
      </c>
      <c r="AB38" s="61" t="n">
        <f aca="false">AB37+AB36</f>
        <v>2041290.76337461</v>
      </c>
    </row>
    <row r="39" customFormat="false" ht="15" hidden="false" customHeight="false" outlineLevel="0" collapsed="false">
      <c r="A39" s="28" t="s">
        <v>497</v>
      </c>
      <c r="B39" s="63" t="s">
        <v>498</v>
      </c>
      <c r="C39" s="64" t="n">
        <f aca="false">SUM(E39:P39)</f>
        <v>-1227131.71661708</v>
      </c>
      <c r="D39" s="64" t="n">
        <f aca="false">SUM(Q39:AB39)</f>
        <v>-987133.000008313</v>
      </c>
      <c r="E39" s="74" t="n">
        <f aca="false">E27+E31</f>
        <v>-347751.8184</v>
      </c>
      <c r="F39" s="74" t="n">
        <f aca="false">F27+F31</f>
        <v>142969.54465</v>
      </c>
      <c r="G39" s="74" t="n">
        <f aca="false">G27+G31</f>
        <v>131805.22795</v>
      </c>
      <c r="H39" s="74" t="n">
        <f aca="false">H27+H31</f>
        <v>-419895.7308</v>
      </c>
      <c r="I39" s="74" t="n">
        <f aca="false">I27+I31</f>
        <v>179314.3149</v>
      </c>
      <c r="J39" s="74" t="n">
        <f aca="false">J27+J31</f>
        <v>-151402.03435</v>
      </c>
      <c r="K39" s="74" t="n">
        <f aca="false">K27+K31</f>
        <v>-426274.79795</v>
      </c>
      <c r="L39" s="74" t="n">
        <f aca="false">L27+L31</f>
        <v>61007.4940999999</v>
      </c>
      <c r="M39" s="74" t="n">
        <f aca="false">M27+M31</f>
        <v>-31589.4177581627</v>
      </c>
      <c r="N39" s="74" t="n">
        <f aca="false">N27+N31</f>
        <v>-280573.007255694</v>
      </c>
      <c r="O39" s="74" t="n">
        <f aca="false">O27+O31</f>
        <v>91381.3205816957</v>
      </c>
      <c r="P39" s="74" t="n">
        <f aca="false">P27+P31</f>
        <v>-176122.812284915</v>
      </c>
      <c r="Q39" s="74" t="n">
        <f aca="false">Q27+Q31</f>
        <v>-334247.546540957</v>
      </c>
      <c r="R39" s="74" t="n">
        <f aca="false">R27+R31</f>
        <v>1522.96573478042</v>
      </c>
      <c r="S39" s="74" t="n">
        <f aca="false">S27+S31</f>
        <v>94883.0458175777</v>
      </c>
      <c r="T39" s="74" t="n">
        <f aca="false">T27+T31</f>
        <v>-114488.111670352</v>
      </c>
      <c r="U39" s="74" t="n">
        <f aca="false">U27+U31</f>
        <v>123321.526791308</v>
      </c>
      <c r="V39" s="74" t="n">
        <f aca="false">V27+V31</f>
        <v>-259664.816277116</v>
      </c>
      <c r="W39" s="74" t="n">
        <f aca="false">W27+W31</f>
        <v>-137238.86384851</v>
      </c>
      <c r="X39" s="74" t="n">
        <f aca="false">X27+X31</f>
        <v>63049.0255592121</v>
      </c>
      <c r="Y39" s="74" t="n">
        <f aca="false">Y27+Y31</f>
        <v>-93896.9205533973</v>
      </c>
      <c r="Z39" s="74" t="n">
        <f aca="false">Z27+Z31</f>
        <v>-95579.9652484089</v>
      </c>
      <c r="AA39" s="74" t="n">
        <f aca="false">AA27+AA31</f>
        <v>38706.9019742314</v>
      </c>
      <c r="AB39" s="74" t="n">
        <f aca="false">AB27+AB31</f>
        <v>-273500.241746682</v>
      </c>
    </row>
    <row r="40" customFormat="false" ht="15" hidden="false" customHeight="false" outlineLevel="0" collapsed="false">
      <c r="A40" s="22" t="s">
        <v>499</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row>
    <row r="41" customFormat="false" ht="15" hidden="false" customHeight="false" outlineLevel="0" collapsed="false">
      <c r="A41" s="28" t="s">
        <v>500</v>
      </c>
      <c r="B41" s="63" t="s">
        <v>501</v>
      </c>
      <c r="C41" s="64" t="n">
        <f aca="false">SUM(E41:P41)</f>
        <v>2531544.86197448</v>
      </c>
      <c r="D41" s="64" t="n">
        <f aca="false">SUM(Q41:AB41)</f>
        <v>3143243.09639188</v>
      </c>
      <c r="E41" s="65" t="n">
        <f aca="false">Receivables!E11</f>
        <v>193345.85</v>
      </c>
      <c r="F41" s="65" t="n">
        <f aca="false">Receivables!F11</f>
        <v>196338.69</v>
      </c>
      <c r="G41" s="65" t="n">
        <f aca="false">Receivables!G11</f>
        <v>201494.4</v>
      </c>
      <c r="H41" s="65" t="n">
        <f aca="false">Receivables!H11</f>
        <v>204634.99</v>
      </c>
      <c r="I41" s="65" t="n">
        <f aca="false">Receivables!I11</f>
        <v>206254.63</v>
      </c>
      <c r="J41" s="65" t="n">
        <f aca="false">Receivables!J11</f>
        <v>207524.3</v>
      </c>
      <c r="K41" s="65" t="n">
        <f aca="false">Receivables!K11</f>
        <v>213214.97</v>
      </c>
      <c r="L41" s="65" t="n">
        <f aca="false">Receivables!L11</f>
        <v>214014.01</v>
      </c>
      <c r="M41" s="65" t="n">
        <f aca="false">Receivables!M11</f>
        <v>218141.723883203</v>
      </c>
      <c r="N41" s="65" t="n">
        <f aca="false">Receivables!N11</f>
        <v>222427.099441358</v>
      </c>
      <c r="O41" s="65" t="n">
        <f aca="false">Receivables!O11</f>
        <v>225948.009960741</v>
      </c>
      <c r="P41" s="65" t="n">
        <f aca="false">Receivables!P11</f>
        <v>228206.18868918</v>
      </c>
      <c r="Q41" s="65" t="n">
        <f aca="false">Receivables!Q11</f>
        <v>244683.199857797</v>
      </c>
      <c r="R41" s="65" t="n">
        <f aca="false">Receivables!R11</f>
        <v>248635.86390256</v>
      </c>
      <c r="S41" s="65" t="n">
        <f aca="false">Receivables!S11</f>
        <v>252313.35109059</v>
      </c>
      <c r="T41" s="65" t="n">
        <f aca="false">Receivables!T11</f>
        <v>255564.85210841</v>
      </c>
      <c r="U41" s="65" t="n">
        <f aca="false">Receivables!U11</f>
        <v>258790.832756959</v>
      </c>
      <c r="V41" s="65" t="n">
        <f aca="false">Receivables!V11</f>
        <v>261609.582367893</v>
      </c>
      <c r="W41" s="65" t="n">
        <f aca="false">Receivables!W11</f>
        <v>263683.250676136</v>
      </c>
      <c r="X41" s="65" t="n">
        <f aca="false">Receivables!X11</f>
        <v>264521.476278838</v>
      </c>
      <c r="Y41" s="65" t="n">
        <f aca="false">Receivables!Y11</f>
        <v>268291.339322963</v>
      </c>
      <c r="Z41" s="65" t="n">
        <f aca="false">Receivables!Z11</f>
        <v>272289.687918218</v>
      </c>
      <c r="AA41" s="65" t="n">
        <f aca="false">Receivables!AA11</f>
        <v>275484.815995701</v>
      </c>
      <c r="AB41" s="65" t="n">
        <f aca="false">Receivables!AB11</f>
        <v>277374.844115817</v>
      </c>
    </row>
    <row r="42" customFormat="false" ht="15" hidden="false" customHeight="false" outlineLevel="0" collapsed="false">
      <c r="A42" s="28" t="s">
        <v>502</v>
      </c>
      <c r="B42" s="63" t="s">
        <v>501</v>
      </c>
      <c r="C42" s="64" t="n">
        <f aca="false">SUM(E42:P42)</f>
        <v>2868004.2430814</v>
      </c>
      <c r="D42" s="64" t="n">
        <f aca="false">SUM(Q42:AB42)</f>
        <v>3600398.64440399</v>
      </c>
      <c r="E42" s="65" t="n">
        <f aca="false">Receivables!E16</f>
        <v>152802.29</v>
      </c>
      <c r="F42" s="65" t="n">
        <f aca="false">Receivables!F16</f>
        <v>367731.4</v>
      </c>
      <c r="G42" s="65" t="n">
        <f aca="false">Receivables!G16</f>
        <v>222614.01</v>
      </c>
      <c r="H42" s="65" t="n">
        <f aca="false">Receivables!H16</f>
        <v>256633.4</v>
      </c>
      <c r="I42" s="65" t="n">
        <f aca="false">Receivables!I16</f>
        <v>259784.97</v>
      </c>
      <c r="J42" s="65" t="n">
        <f aca="false">Receivables!J16</f>
        <v>236936.5</v>
      </c>
      <c r="K42" s="65" t="n">
        <f aca="false">Receivables!K16</f>
        <v>211048.56</v>
      </c>
      <c r="L42" s="65" t="n">
        <f aca="false">Receivables!L16</f>
        <v>271954.34</v>
      </c>
      <c r="M42" s="65" t="n">
        <f aca="false">Receivables!M16</f>
        <v>205750.822594</v>
      </c>
      <c r="N42" s="65" t="n">
        <f aca="false">Receivables!N16</f>
        <v>231543.31254105</v>
      </c>
      <c r="O42" s="65" t="n">
        <f aca="false">Receivables!O16</f>
        <v>221473.132658743</v>
      </c>
      <c r="P42" s="65" t="n">
        <f aca="false">Receivables!P16</f>
        <v>229731.505287607</v>
      </c>
      <c r="Q42" s="65" t="n">
        <f aca="false">Receivables!Q16</f>
        <v>204623.011890184</v>
      </c>
      <c r="R42" s="65" t="n">
        <f aca="false">Receivables!R16</f>
        <v>432420.023032831</v>
      </c>
      <c r="S42" s="65" t="n">
        <f aca="false">Receivables!S16</f>
        <v>291291.920727176</v>
      </c>
      <c r="T42" s="65" t="n">
        <f aca="false">Receivables!T16</f>
        <v>314600.862164423</v>
      </c>
      <c r="U42" s="65" t="n">
        <f aca="false">Receivables!U16</f>
        <v>328978.856769998</v>
      </c>
      <c r="V42" s="65" t="n">
        <f aca="false">Receivables!V16</f>
        <v>304792.313247112</v>
      </c>
      <c r="W42" s="65" t="n">
        <f aca="false">Receivables!W16</f>
        <v>271296.510097787</v>
      </c>
      <c r="X42" s="65" t="n">
        <f aca="false">Receivables!X16</f>
        <v>327786.841553721</v>
      </c>
      <c r="Y42" s="65" t="n">
        <f aca="false">Receivables!Y16</f>
        <v>245438.850779295</v>
      </c>
      <c r="Z42" s="65" t="n">
        <f aca="false">Receivables!Z16</f>
        <v>294115.329167626</v>
      </c>
      <c r="AA42" s="65" t="n">
        <f aca="false">Receivables!AA16</f>
        <v>290169.614402268</v>
      </c>
      <c r="AB42" s="65" t="n">
        <f aca="false">Receivables!AB16</f>
        <v>294884.51057157</v>
      </c>
    </row>
    <row r="43" customFormat="false" ht="15" hidden="false" customHeight="false" outlineLevel="0" collapsed="false">
      <c r="A43" s="28" t="s">
        <v>503</v>
      </c>
      <c r="B43" s="63" t="s">
        <v>501</v>
      </c>
      <c r="C43" s="64" t="n">
        <f aca="false">SUM(E43:P43)</f>
        <v>2131438.19323512</v>
      </c>
      <c r="D43" s="64" t="n">
        <f aca="false">SUM(Q43:AB43)</f>
        <v>2664300.34445994</v>
      </c>
      <c r="E43" s="65" t="n">
        <f aca="false">Receivables!E26</f>
        <v>156629.74</v>
      </c>
      <c r="F43" s="65" t="n">
        <f aca="false">Receivables!F26</f>
        <v>136183.31</v>
      </c>
      <c r="G43" s="65" t="n">
        <f aca="false">Receivables!G26</f>
        <v>272366.61</v>
      </c>
      <c r="H43" s="65" t="n">
        <f aca="false">Receivables!H26</f>
        <v>105493.35</v>
      </c>
      <c r="I43" s="65" t="n">
        <f aca="false">Receivables!I26</f>
        <v>299389.44</v>
      </c>
      <c r="J43" s="65" t="n">
        <f aca="false">Receivables!J26</f>
        <v>230357.48</v>
      </c>
      <c r="K43" s="65" t="n">
        <f aca="false">Receivables!K26</f>
        <v>154610.32</v>
      </c>
      <c r="L43" s="65" t="n">
        <f aca="false">Receivables!L26</f>
        <v>143775.5</v>
      </c>
      <c r="M43" s="65" t="n">
        <f aca="false">Receivables!M26</f>
        <v>97525.8024</v>
      </c>
      <c r="N43" s="65" t="n">
        <f aca="false">Receivables!N26</f>
        <v>145770.72603056</v>
      </c>
      <c r="O43" s="65" t="n">
        <f aca="false">Receivables!O26</f>
        <v>209909.138530192</v>
      </c>
      <c r="P43" s="65" t="n">
        <f aca="false">Receivables!P26</f>
        <v>179426.776274368</v>
      </c>
      <c r="Q43" s="65" t="n">
        <f aca="false">Receivables!Q26</f>
        <v>221741.153339115</v>
      </c>
      <c r="R43" s="65" t="n">
        <f aca="false">Receivables!R26</f>
        <v>187101.289003243</v>
      </c>
      <c r="S43" s="65" t="n">
        <f aca="false">Receivables!S26</f>
        <v>300335.91133982</v>
      </c>
      <c r="T43" s="65" t="n">
        <f aca="false">Receivables!T26</f>
        <v>148312.38717998</v>
      </c>
      <c r="U43" s="65" t="n">
        <f aca="false">Receivables!U26</f>
        <v>341754.25130316</v>
      </c>
      <c r="V43" s="65" t="n">
        <f aca="false">Receivables!V26</f>
        <v>244421.339446342</v>
      </c>
      <c r="W43" s="65" t="n">
        <f aca="false">Receivables!W26</f>
        <v>189685.120236985</v>
      </c>
      <c r="X43" s="65" t="n">
        <f aca="false">Receivables!X26</f>
        <v>236343.472051587</v>
      </c>
      <c r="Y43" s="65" t="n">
        <f aca="false">Receivables!Y26</f>
        <v>147418.06430144</v>
      </c>
      <c r="Z43" s="65" t="n">
        <f aca="false">Receivables!Z26</f>
        <v>144046.929926046</v>
      </c>
      <c r="AA43" s="65" t="n">
        <f aca="false">Receivables!AA26</f>
        <v>269520.871324845</v>
      </c>
      <c r="AB43" s="65" t="n">
        <f aca="false">Receivables!AB26</f>
        <v>233619.555007372</v>
      </c>
    </row>
    <row r="44" customFormat="false" ht="15" hidden="false" customHeight="false" outlineLevel="0" collapsed="false">
      <c r="A44" s="28" t="s">
        <v>504</v>
      </c>
      <c r="B44" s="63" t="s">
        <v>501</v>
      </c>
      <c r="C44" s="64" t="n">
        <f aca="false">SUM(E44:P44)</f>
        <v>-3034604.7016914</v>
      </c>
      <c r="D44" s="64" t="n">
        <f aca="false">SUM(Q44:AB44)</f>
        <v>-3586951.01449645</v>
      </c>
      <c r="E44" s="65" t="n">
        <f aca="false">-People!E217</f>
        <v>-197350.8384</v>
      </c>
      <c r="F44" s="65" t="n">
        <f aca="false">-People!F217</f>
        <v>-208322.35535</v>
      </c>
      <c r="G44" s="65" t="n">
        <f aca="false">-People!G217</f>
        <v>-207557.49205</v>
      </c>
      <c r="H44" s="65" t="n">
        <f aca="false">-People!H217</f>
        <v>-216689.8308</v>
      </c>
      <c r="I44" s="65" t="n">
        <f aca="false">-People!I217</f>
        <v>-226693.3651</v>
      </c>
      <c r="J44" s="65" t="n">
        <f aca="false">-People!J217</f>
        <v>-443426.19435</v>
      </c>
      <c r="K44" s="65" t="n">
        <f aca="false">-People!K217</f>
        <v>-217933.47795</v>
      </c>
      <c r="L44" s="65" t="n">
        <f aca="false">-People!L217</f>
        <v>-219876.9459</v>
      </c>
      <c r="M44" s="65" t="n">
        <f aca="false">-People!M217</f>
        <v>-214370.514930366</v>
      </c>
      <c r="N44" s="65" t="n">
        <f aca="false">-People!N217</f>
        <v>-214169.624491585</v>
      </c>
      <c r="O44" s="65" t="n">
        <f aca="false">-People!O217</f>
        <v>-216441.96771415</v>
      </c>
      <c r="P44" s="65" t="n">
        <f aca="false">-People!P217</f>
        <v>-451772.094655298</v>
      </c>
      <c r="Q44" s="65" t="n">
        <f aca="false">-People!Q217</f>
        <v>-245700.825074701</v>
      </c>
      <c r="R44" s="65" t="n">
        <f aca="false">-People!R217</f>
        <v>-246540.577456536</v>
      </c>
      <c r="S44" s="65" t="n">
        <f aca="false">-People!S217</f>
        <v>-248420.52341826</v>
      </c>
      <c r="T44" s="65" t="n">
        <f aca="false">-People!T217</f>
        <v>-251616.636932596</v>
      </c>
      <c r="U44" s="65" t="n">
        <f aca="false">-People!U217</f>
        <v>-255164.456852055</v>
      </c>
      <c r="V44" s="65" t="n">
        <f aca="false">-People!V217</f>
        <v>-518770.895357908</v>
      </c>
      <c r="W44" s="65" t="n">
        <f aca="false">-People!W217</f>
        <v>-255252.358725865</v>
      </c>
      <c r="X44" s="65" t="n">
        <f aca="false">-People!X217</f>
        <v>-254972.481357738</v>
      </c>
      <c r="Y44" s="65" t="n">
        <f aca="false">-People!Y217</f>
        <v>-257636.584418589</v>
      </c>
      <c r="Z44" s="65" t="n">
        <f aca="false">-People!Z217</f>
        <v>-259614.098535315</v>
      </c>
      <c r="AA44" s="65" t="n">
        <f aca="false">-People!AA217</f>
        <v>-259440.438302541</v>
      </c>
      <c r="AB44" s="65" t="n">
        <f aca="false">-People!AB217</f>
        <v>-533821.138064351</v>
      </c>
    </row>
    <row r="45" customFormat="false" ht="15" hidden="false" customHeight="false" outlineLevel="0" collapsed="false">
      <c r="A45" s="28" t="s">
        <v>505</v>
      </c>
      <c r="B45" s="63" t="s">
        <v>501</v>
      </c>
      <c r="C45" s="64" t="n">
        <f aca="false">SUM(E45:P45)</f>
        <v>-1485153.39225642</v>
      </c>
      <c r="D45" s="64" t="n">
        <f aca="false">SUM(Q45:AB45)</f>
        <v>-1765098.66001435</v>
      </c>
      <c r="E45" s="65" t="n">
        <f aca="false">-People!E211</f>
        <v>-109567.68</v>
      </c>
      <c r="F45" s="65" t="n">
        <f aca="false">-People!F211</f>
        <v>-117502.67</v>
      </c>
      <c r="G45" s="65" t="n">
        <f aca="false">-People!G211</f>
        <v>-118966.84</v>
      </c>
      <c r="H45" s="65" t="n">
        <f aca="false">-People!H211</f>
        <v>-122596.28</v>
      </c>
      <c r="I45" s="65" t="n">
        <f aca="false">-People!I211</f>
        <v>-128914.02</v>
      </c>
      <c r="J45" s="65" t="n">
        <f aca="false">-People!J211</f>
        <v>-127183.02</v>
      </c>
      <c r="K45" s="65" t="n">
        <f aca="false">-People!K211</f>
        <v>-127616.9</v>
      </c>
      <c r="L45" s="65" t="n">
        <f aca="false">-People!L211</f>
        <v>-129488.2</v>
      </c>
      <c r="M45" s="65" t="n">
        <f aca="false">-People!M211</f>
        <v>-125578.710805</v>
      </c>
      <c r="N45" s="65" t="n">
        <f aca="false">-People!N211</f>
        <v>-125034.3194305</v>
      </c>
      <c r="O45" s="65" t="n">
        <f aca="false">-People!O211</f>
        <v>-124826.721590066</v>
      </c>
      <c r="P45" s="65" t="n">
        <f aca="false">-People!P211</f>
        <v>-127878.030430852</v>
      </c>
      <c r="Q45" s="65" t="n">
        <f aca="false">-People!Q211</f>
        <v>-127837.597548146</v>
      </c>
      <c r="R45" s="65" t="n">
        <f aca="false">-People!R211</f>
        <v>-144837.439615833</v>
      </c>
      <c r="S45" s="65" t="n">
        <f aca="false">-People!S211</f>
        <v>-144087.939191486</v>
      </c>
      <c r="T45" s="65" t="n">
        <f aca="false">-People!T211</f>
        <v>-146291.855999117</v>
      </c>
      <c r="U45" s="65" t="n">
        <f aca="false">-People!U211</f>
        <v>-147643.09995993</v>
      </c>
      <c r="V45" s="65" t="n">
        <f aca="false">-People!V211</f>
        <v>-148686.080925977</v>
      </c>
      <c r="W45" s="65" t="n">
        <f aca="false">-People!W211</f>
        <v>-149707.378481412</v>
      </c>
      <c r="X45" s="65" t="n">
        <f aca="false">-People!X211</f>
        <v>-149817.930082314</v>
      </c>
      <c r="Y45" s="65" t="n">
        <f aca="false">-People!Y211</f>
        <v>-149378.173291914</v>
      </c>
      <c r="Z45" s="65" t="n">
        <f aca="false">-People!Z211</f>
        <v>-152226.568344033</v>
      </c>
      <c r="AA45" s="65" t="n">
        <f aca="false">-People!AA211</f>
        <v>-152321.01810794</v>
      </c>
      <c r="AB45" s="65" t="n">
        <f aca="false">-People!AB211</f>
        <v>-152263.578466251</v>
      </c>
    </row>
    <row r="46" customFormat="false" ht="15" hidden="false" customHeight="false" outlineLevel="0" collapsed="false">
      <c r="A46" s="28" t="s">
        <v>506</v>
      </c>
      <c r="B46" s="63" t="s">
        <v>501</v>
      </c>
      <c r="C46" s="64" t="n">
        <f aca="false">SUM(E46:P46)</f>
        <v>-768883.601580952</v>
      </c>
      <c r="D46" s="64" t="n">
        <f aca="false">SUM(Q46:AB46)</f>
        <v>-1022812.66042574</v>
      </c>
      <c r="E46" s="65" t="n">
        <f aca="false">-Tax!E10</f>
        <v>-203439.72</v>
      </c>
      <c r="F46" s="65" t="n">
        <f aca="false">-Tax!F10</f>
        <v>-0</v>
      </c>
      <c r="G46" s="65" t="n">
        <f aca="false">-Tax!G10</f>
        <v>-0</v>
      </c>
      <c r="H46" s="65" t="n">
        <f aca="false">-Tax!H10</f>
        <v>-163794.28</v>
      </c>
      <c r="I46" s="65" t="n">
        <f aca="false">-Tax!I10</f>
        <v>-0</v>
      </c>
      <c r="J46" s="65" t="n">
        <f aca="false">-Tax!J10</f>
        <v>-0</v>
      </c>
      <c r="K46" s="65" t="n">
        <f aca="false">-Tax!K10</f>
        <v>-229394.73</v>
      </c>
      <c r="L46" s="65" t="n">
        <f aca="false">-Tax!L10</f>
        <v>-0</v>
      </c>
      <c r="M46" s="65" t="n">
        <f aca="false">-Tax!M10</f>
        <v>-0</v>
      </c>
      <c r="N46" s="65" t="n">
        <f aca="false">-Tax!N10</f>
        <v>-172254.871580952</v>
      </c>
      <c r="O46" s="65" t="n">
        <f aca="false">-Tax!O10</f>
        <v>-0</v>
      </c>
      <c r="P46" s="65" t="n">
        <f aca="false">-Tax!P10</f>
        <v>-0</v>
      </c>
      <c r="Q46" s="65" t="n">
        <f aca="false">-Tax!Q10</f>
        <v>-227604.602066051</v>
      </c>
      <c r="R46" s="65" t="n">
        <f aca="false">-Tax!R10</f>
        <v>-65049.1698002375</v>
      </c>
      <c r="S46" s="65" t="n">
        <f aca="false">-Tax!S10</f>
        <v>-65242.4849509753</v>
      </c>
      <c r="T46" s="65" t="n">
        <f aca="false">-Tax!T10</f>
        <v>-65421.5103807766</v>
      </c>
      <c r="U46" s="65" t="n">
        <f aca="false">-Tax!U10</f>
        <v>-66196.9481105873</v>
      </c>
      <c r="V46" s="65" t="n">
        <f aca="false">-Tax!V10</f>
        <v>-66868.7229478123</v>
      </c>
      <c r="W46" s="65" t="n">
        <f aca="false">-Tax!W10</f>
        <v>-130215.813378158</v>
      </c>
      <c r="X46" s="65" t="n">
        <f aca="false">-Tax!X10</f>
        <v>-66896.2210039684</v>
      </c>
      <c r="Y46" s="65" t="n">
        <f aca="false">-Tax!Y10</f>
        <v>-66829.3464517114</v>
      </c>
      <c r="Z46" s="65" t="n">
        <f aca="false">-Tax!Z10</f>
        <v>-67192.647910668</v>
      </c>
      <c r="AA46" s="65" t="n">
        <f aca="false">-Tax!AA10</f>
        <v>-67666.9566438286</v>
      </c>
      <c r="AB46" s="65" t="n">
        <f aca="false">-Tax!AB10</f>
        <v>-67628.2367809659</v>
      </c>
    </row>
    <row r="47" customFormat="false" ht="15" hidden="false" customHeight="false" outlineLevel="0" collapsed="false">
      <c r="A47" s="28" t="s">
        <v>402</v>
      </c>
      <c r="B47" s="63" t="s">
        <v>501</v>
      </c>
      <c r="C47" s="64" t="n">
        <f aca="false">SUM(E47:P47)</f>
        <v>0</v>
      </c>
      <c r="D47" s="64" t="n">
        <f aca="false">SUM(Q47:AB47)</f>
        <v>0</v>
      </c>
      <c r="E47" s="65" t="n">
        <f aca="false">-People!E218</f>
        <v>-0</v>
      </c>
      <c r="F47" s="65" t="n">
        <f aca="false">-People!F218</f>
        <v>-0</v>
      </c>
      <c r="G47" s="65" t="n">
        <f aca="false">-People!G218</f>
        <v>-0</v>
      </c>
      <c r="H47" s="65" t="n">
        <f aca="false">-People!H218</f>
        <v>-0</v>
      </c>
      <c r="I47" s="65" t="n">
        <f aca="false">-People!I218</f>
        <v>-0</v>
      </c>
      <c r="J47" s="65" t="n">
        <f aca="false">-People!J218</f>
        <v>-0</v>
      </c>
      <c r="K47" s="65" t="n">
        <f aca="false">-People!K218</f>
        <v>-0</v>
      </c>
      <c r="L47" s="65" t="n">
        <f aca="false">-People!L218</f>
        <v>-0</v>
      </c>
      <c r="M47" s="65" t="n">
        <f aca="false">-People!M218</f>
        <v>-0</v>
      </c>
      <c r="N47" s="65" t="n">
        <f aca="false">-People!N218</f>
        <v>-0</v>
      </c>
      <c r="O47" s="65" t="n">
        <f aca="false">-People!O218</f>
        <v>-0</v>
      </c>
      <c r="P47" s="65" t="n">
        <f aca="false">-People!P218</f>
        <v>-0</v>
      </c>
      <c r="Q47" s="65" t="n">
        <f aca="false">-People!Q218</f>
        <v>-0</v>
      </c>
      <c r="R47" s="65" t="n">
        <f aca="false">-People!R218</f>
        <v>-0</v>
      </c>
      <c r="S47" s="65" t="n">
        <f aca="false">-People!S218</f>
        <v>-0</v>
      </c>
      <c r="T47" s="65" t="n">
        <f aca="false">-People!T218</f>
        <v>-0</v>
      </c>
      <c r="U47" s="65" t="n">
        <f aca="false">-People!U218</f>
        <v>-0</v>
      </c>
      <c r="V47" s="65" t="n">
        <f aca="false">-People!V218</f>
        <v>-0</v>
      </c>
      <c r="W47" s="65" t="n">
        <f aca="false">-People!W218</f>
        <v>-0</v>
      </c>
      <c r="X47" s="65" t="n">
        <f aca="false">-People!X218</f>
        <v>-0</v>
      </c>
      <c r="Y47" s="65" t="n">
        <f aca="false">-People!Y218</f>
        <v>-0</v>
      </c>
      <c r="Z47" s="65" t="n">
        <f aca="false">-People!Z218</f>
        <v>-0</v>
      </c>
      <c r="AA47" s="65" t="n">
        <f aca="false">-People!AA218</f>
        <v>-0</v>
      </c>
      <c r="AB47" s="65" t="n">
        <f aca="false">-People!AB218</f>
        <v>-0</v>
      </c>
    </row>
    <row r="48" customFormat="false" ht="15" hidden="false" customHeight="false" outlineLevel="0" collapsed="false">
      <c r="A48" s="28" t="s">
        <v>507</v>
      </c>
      <c r="B48" s="63" t="s">
        <v>501</v>
      </c>
      <c r="C48" s="64" t="n">
        <f aca="false">SUM(E48:P48)</f>
        <v>-658373.089058087</v>
      </c>
      <c r="D48" s="64" t="n">
        <f aca="false">SUM(Q48:AB48)</f>
        <v>-778450.089890321</v>
      </c>
      <c r="E48" s="65" t="n">
        <f aca="false">-Payables!E10</f>
        <v>-50860.06</v>
      </c>
      <c r="F48" s="65" t="n">
        <f aca="false">-Payables!F10</f>
        <v>-52433.05</v>
      </c>
      <c r="G48" s="65" t="n">
        <f aca="false">-Payables!G10</f>
        <v>-53515.25</v>
      </c>
      <c r="H48" s="65" t="n">
        <f aca="false">-Payables!H10</f>
        <v>-52397.87</v>
      </c>
      <c r="I48" s="65" t="n">
        <f aca="false">-Payables!I10</f>
        <v>-54290.39</v>
      </c>
      <c r="J48" s="65" t="n">
        <f aca="false">-Payables!J10</f>
        <v>-54703.69</v>
      </c>
      <c r="K48" s="65" t="n">
        <f aca="false">-Payables!K10</f>
        <v>-55827.87</v>
      </c>
      <c r="L48" s="65" t="n">
        <f aca="false">-Payables!L10</f>
        <v>-55234.4</v>
      </c>
      <c r="M48" s="65" t="n">
        <f aca="false">-Payables!M10</f>
        <v>-57077.91</v>
      </c>
      <c r="N48" s="65" t="n">
        <f aca="false">-Payables!N10</f>
        <v>-56804.4589610682</v>
      </c>
      <c r="O48" s="65" t="n">
        <f aca="false">-Payables!O10</f>
        <v>-57213.1047137646</v>
      </c>
      <c r="P48" s="65" t="n">
        <f aca="false">-Payables!P10</f>
        <v>-58015.0353832541</v>
      </c>
      <c r="Q48" s="65" t="n">
        <f aca="false">-Payables!Q10</f>
        <v>-58516.5463862267</v>
      </c>
      <c r="R48" s="65" t="n">
        <f aca="false">-Payables!R10</f>
        <v>-62035.319402752</v>
      </c>
      <c r="S48" s="65" t="n">
        <f aca="false">-Payables!S10</f>
        <v>-62554.8830862954</v>
      </c>
      <c r="T48" s="65" t="n">
        <f aca="false">-Payables!T10</f>
        <v>-63536.6195569118</v>
      </c>
      <c r="U48" s="65" t="n">
        <f aca="false">-Payables!U10</f>
        <v>-64280.5932337319</v>
      </c>
      <c r="V48" s="65" t="n">
        <f aca="false">-Payables!V10</f>
        <v>-65110.4888032051</v>
      </c>
      <c r="W48" s="65" t="n">
        <f aca="false">-Payables!W10</f>
        <v>-65619.3642848004</v>
      </c>
      <c r="X48" s="65" t="n">
        <f aca="false">-Payables!X10</f>
        <v>-66076.2788560032</v>
      </c>
      <c r="Y48" s="65" t="n">
        <f aca="false">-Payables!Y10</f>
        <v>-66452.7219106105</v>
      </c>
      <c r="Z48" s="65" t="n">
        <f aca="false">-Payables!Z10</f>
        <v>-67507.1538076249</v>
      </c>
      <c r="AA48" s="65" t="n">
        <f aca="false">-Payables!AA10</f>
        <v>-68104.1231786645</v>
      </c>
      <c r="AB48" s="65" t="n">
        <f aca="false">-Payables!AB10</f>
        <v>-68655.9973834944</v>
      </c>
    </row>
    <row r="49" customFormat="false" ht="15" hidden="false" customHeight="false" outlineLevel="0" collapsed="false">
      <c r="A49" s="28" t="s">
        <v>508</v>
      </c>
      <c r="B49" s="63" t="s">
        <v>501</v>
      </c>
      <c r="C49" s="64" t="n">
        <f aca="false">SUM(E49:P49)</f>
        <v>-810376.14</v>
      </c>
      <c r="D49" s="64" t="n">
        <f aca="false">SUM(Q49:AB49)</f>
        <v>-831765</v>
      </c>
      <c r="E49" s="65" t="n">
        <f aca="false">-Payables!E14</f>
        <v>-70032.17</v>
      </c>
      <c r="F49" s="65" t="n">
        <f aca="false">-Payables!F14</f>
        <v>-74973.64</v>
      </c>
      <c r="G49" s="65" t="n">
        <f aca="false">-Payables!G14</f>
        <v>-73665.29</v>
      </c>
      <c r="H49" s="65" t="n">
        <f aca="false">-Payables!H14</f>
        <v>-69997.92</v>
      </c>
      <c r="I49" s="65" t="n">
        <f aca="false">-Payables!I14</f>
        <v>-66737.62</v>
      </c>
      <c r="J49" s="65" t="n">
        <f aca="false">-Payables!J14</f>
        <v>-67121.62</v>
      </c>
      <c r="K49" s="65" t="n">
        <f aca="false">-Payables!K14</f>
        <v>-69319.75</v>
      </c>
      <c r="L49" s="65" t="n">
        <f aca="false">-Payables!L14</f>
        <v>-60816.35</v>
      </c>
      <c r="M49" s="65" t="n">
        <f aca="false">-Payables!M14</f>
        <v>-59711.78</v>
      </c>
      <c r="N49" s="65" t="n">
        <f aca="false">-Payables!N14</f>
        <v>-66000</v>
      </c>
      <c r="O49" s="65" t="n">
        <f aca="false">-Payables!O14</f>
        <v>-66000</v>
      </c>
      <c r="P49" s="65" t="n">
        <f aca="false">-Payables!P14</f>
        <v>-66000</v>
      </c>
      <c r="Q49" s="65" t="n">
        <f aca="false">-Payables!Q14</f>
        <v>-72088.5</v>
      </c>
      <c r="R49" s="65" t="n">
        <f aca="false">-Payables!R14</f>
        <v>-78177</v>
      </c>
      <c r="S49" s="65" t="n">
        <f aca="false">-Payables!S14</f>
        <v>-78177</v>
      </c>
      <c r="T49" s="65" t="n">
        <f aca="false">-Payables!T14</f>
        <v>-73078.5</v>
      </c>
      <c r="U49" s="65" t="n">
        <f aca="false">-Payables!U14</f>
        <v>-67980</v>
      </c>
      <c r="V49" s="65" t="n">
        <f aca="false">-Payables!V14</f>
        <v>-67980</v>
      </c>
      <c r="W49" s="65" t="n">
        <f aca="false">-Payables!W14</f>
        <v>-67980</v>
      </c>
      <c r="X49" s="65" t="n">
        <f aca="false">-Payables!X14</f>
        <v>-61182</v>
      </c>
      <c r="Y49" s="65" t="n">
        <f aca="false">-Payables!Y14</f>
        <v>-61182</v>
      </c>
      <c r="Z49" s="65" t="n">
        <f aca="false">-Payables!Z14</f>
        <v>-67980</v>
      </c>
      <c r="AA49" s="65" t="n">
        <f aca="false">-Payables!AA14</f>
        <v>-67980</v>
      </c>
      <c r="AB49" s="65" t="n">
        <f aca="false">-Payables!AB14</f>
        <v>-67980</v>
      </c>
    </row>
    <row r="50" customFormat="false" ht="15" hidden="false" customHeight="false" outlineLevel="0" collapsed="false">
      <c r="A50" s="28" t="s">
        <v>509</v>
      </c>
      <c r="B50" s="63" t="s">
        <v>501</v>
      </c>
      <c r="C50" s="64" t="n">
        <f aca="false">SUM(E50:P50)</f>
        <v>-910580.858716667</v>
      </c>
      <c r="D50" s="64" t="n">
        <f aca="false">SUM(Q50:AB50)</f>
        <v>-1032086.62652232</v>
      </c>
      <c r="E50" s="65" t="n">
        <f aca="false">-Payables!E18</f>
        <v>-61740.13</v>
      </c>
      <c r="F50" s="65" t="n">
        <f aca="false">-Payables!F18</f>
        <v>-70742.14</v>
      </c>
      <c r="G50" s="65" t="n">
        <f aca="false">-Payables!G18</f>
        <v>-77654.92</v>
      </c>
      <c r="H50" s="65" t="n">
        <f aca="false">-Payables!H18</f>
        <v>-99869.83</v>
      </c>
      <c r="I50" s="65" t="n">
        <f aca="false">-Payables!I18</f>
        <v>-76169.33</v>
      </c>
      <c r="J50" s="65" t="n">
        <f aca="false">-Payables!J18</f>
        <v>-100475.79</v>
      </c>
      <c r="K50" s="65" t="n">
        <f aca="false">-Payables!K18</f>
        <v>-72785.73</v>
      </c>
      <c r="L50" s="65" t="n">
        <f aca="false">-Payables!L18</f>
        <v>-70010.46</v>
      </c>
      <c r="M50" s="65" t="n">
        <f aca="false">-Payables!M18</f>
        <v>-63444.96205</v>
      </c>
      <c r="N50" s="65" t="n">
        <f aca="false">-Payables!N18</f>
        <v>-69615.5</v>
      </c>
      <c r="O50" s="65" t="n">
        <f aca="false">-Payables!O18</f>
        <v>-69615.5</v>
      </c>
      <c r="P50" s="65" t="n">
        <f aca="false">-Payables!P18</f>
        <v>-78456.5666666667</v>
      </c>
      <c r="Q50" s="65" t="n">
        <f aca="false">-Payables!Q18</f>
        <v>-70658.7566222222</v>
      </c>
      <c r="R50" s="65" t="n">
        <f aca="false">-Payables!R18</f>
        <v>-126566.450325185</v>
      </c>
      <c r="S50" s="65" t="n">
        <f aca="false">-Payables!S18</f>
        <v>-72522.1533058101</v>
      </c>
      <c r="T50" s="65" t="n">
        <f aca="false">-Payables!T18</f>
        <v>-108073.116674688</v>
      </c>
      <c r="U50" s="65" t="n">
        <f aca="false">-Payables!U18</f>
        <v>-80976.6362565173</v>
      </c>
      <c r="V50" s="65" t="n">
        <f aca="false">-Payables!V18</f>
        <v>-115630.040536307</v>
      </c>
      <c r="W50" s="65" t="n">
        <f aca="false">-Payables!W18</f>
        <v>-73469.5515352043</v>
      </c>
      <c r="X50" s="65" t="n">
        <f aca="false">-Payables!X18</f>
        <v>-73542.779012062</v>
      </c>
      <c r="Y50" s="65" t="n">
        <f aca="false">-Payables!Y18</f>
        <v>-73795.8234633087</v>
      </c>
      <c r="Z50" s="65" t="n">
        <f aca="false">-Payables!Z18</f>
        <v>-89278.6445837738</v>
      </c>
      <c r="AA50" s="65" t="n">
        <f aca="false">-Payables!AA18</f>
        <v>-73786.2513061591</v>
      </c>
      <c r="AB50" s="65" t="n">
        <f aca="false">-Payables!AB18</f>
        <v>-73786.4229010825</v>
      </c>
    </row>
    <row r="51" customFormat="false" ht="15" hidden="false" customHeight="false" outlineLevel="0" collapsed="false">
      <c r="A51" s="28" t="s">
        <v>510</v>
      </c>
      <c r="B51" s="63" t="s">
        <v>501</v>
      </c>
      <c r="C51" s="64" t="n">
        <f aca="false">SUM(E51:P51)</f>
        <v>-189720</v>
      </c>
      <c r="D51" s="64" t="n">
        <f aca="false">SUM(Q51:AB51)</f>
        <v>-195411.6</v>
      </c>
      <c r="E51" s="65" t="n">
        <f aca="false">-Overheads!E24</f>
        <v>-15810</v>
      </c>
      <c r="F51" s="65" t="n">
        <f aca="false">-Overheads!F24</f>
        <v>-15810</v>
      </c>
      <c r="G51" s="65" t="n">
        <f aca="false">-Overheads!G24</f>
        <v>-15810</v>
      </c>
      <c r="H51" s="65" t="n">
        <f aca="false">-Overheads!H24</f>
        <v>-15810</v>
      </c>
      <c r="I51" s="65" t="n">
        <f aca="false">-Overheads!I24</f>
        <v>-15810</v>
      </c>
      <c r="J51" s="65" t="n">
        <f aca="false">-Overheads!J24</f>
        <v>-15810</v>
      </c>
      <c r="K51" s="65" t="n">
        <f aca="false">-Overheads!K24</f>
        <v>-15810</v>
      </c>
      <c r="L51" s="65" t="n">
        <f aca="false">-Overheads!L24</f>
        <v>-15810</v>
      </c>
      <c r="M51" s="65" t="n">
        <f aca="false">-Overheads!M24</f>
        <v>-15810</v>
      </c>
      <c r="N51" s="65" t="n">
        <f aca="false">-Overheads!N24</f>
        <v>-15810</v>
      </c>
      <c r="O51" s="65" t="n">
        <f aca="false">-Overheads!O24</f>
        <v>-15810</v>
      </c>
      <c r="P51" s="65" t="n">
        <f aca="false">-Overheads!P24</f>
        <v>-15810</v>
      </c>
      <c r="Q51" s="65" t="n">
        <f aca="false">-Overheads!Q24</f>
        <v>-16284.3</v>
      </c>
      <c r="R51" s="65" t="n">
        <f aca="false">-Overheads!R24</f>
        <v>-16284.3</v>
      </c>
      <c r="S51" s="65" t="n">
        <f aca="false">-Overheads!S24</f>
        <v>-16284.3</v>
      </c>
      <c r="T51" s="65" t="n">
        <f aca="false">-Overheads!T24</f>
        <v>-16284.3</v>
      </c>
      <c r="U51" s="65" t="n">
        <f aca="false">-Overheads!U24</f>
        <v>-16284.3</v>
      </c>
      <c r="V51" s="65" t="n">
        <f aca="false">-Overheads!V24</f>
        <v>-16284.3</v>
      </c>
      <c r="W51" s="65" t="n">
        <f aca="false">-Overheads!W24</f>
        <v>-16284.3</v>
      </c>
      <c r="X51" s="65" t="n">
        <f aca="false">-Overheads!X24</f>
        <v>-16284.3</v>
      </c>
      <c r="Y51" s="65" t="n">
        <f aca="false">-Overheads!Y24</f>
        <v>-16284.3</v>
      </c>
      <c r="Z51" s="65" t="n">
        <f aca="false">-Overheads!Z24</f>
        <v>-16284.3</v>
      </c>
      <c r="AA51" s="65" t="n">
        <f aca="false">-Overheads!AA24</f>
        <v>-16284.3</v>
      </c>
      <c r="AB51" s="65" t="n">
        <f aca="false">-Overheads!AB24</f>
        <v>-16284.3</v>
      </c>
    </row>
    <row r="52" customFormat="false" ht="15" hidden="false" customHeight="false" outlineLevel="0" collapsed="false">
      <c r="A52" s="28" t="s">
        <v>511</v>
      </c>
      <c r="B52" s="63" t="s">
        <v>501</v>
      </c>
      <c r="C52" s="64" t="n">
        <f aca="false">SUM(E52:P52)</f>
        <v>-35055</v>
      </c>
      <c r="D52" s="64" t="n">
        <f aca="false">SUM(Q52:AB52)</f>
        <v>-42201.85</v>
      </c>
      <c r="E52" s="65" t="n">
        <f aca="false">-Tax!E16</f>
        <v>-8550</v>
      </c>
      <c r="F52" s="65" t="n">
        <f aca="false">-Tax!F16</f>
        <v>-0</v>
      </c>
      <c r="G52" s="65" t="n">
        <f aca="false">-Tax!G16</f>
        <v>-0</v>
      </c>
      <c r="H52" s="65" t="n">
        <f aca="false">-Tax!H16</f>
        <v>-8835</v>
      </c>
      <c r="I52" s="65" t="n">
        <f aca="false">-Tax!I16</f>
        <v>-0</v>
      </c>
      <c r="J52" s="65" t="n">
        <f aca="false">-Tax!J16</f>
        <v>-0</v>
      </c>
      <c r="K52" s="65" t="n">
        <f aca="false">-Tax!K16</f>
        <v>-8835</v>
      </c>
      <c r="L52" s="65" t="n">
        <f aca="false">-Tax!L16</f>
        <v>-0</v>
      </c>
      <c r="M52" s="65" t="n">
        <f aca="false">-Tax!M16</f>
        <v>-0</v>
      </c>
      <c r="N52" s="65" t="n">
        <f aca="false">-Tax!N16</f>
        <v>-8835</v>
      </c>
      <c r="O52" s="65" t="n">
        <f aca="false">-Tax!O16</f>
        <v>-0</v>
      </c>
      <c r="P52" s="65" t="n">
        <f aca="false">-Tax!P16</f>
        <v>-0</v>
      </c>
      <c r="Q52" s="65" t="n">
        <f aca="false">-Tax!Q16</f>
        <v>-8835</v>
      </c>
      <c r="R52" s="65" t="n">
        <f aca="false">-Tax!R16</f>
        <v>-3033.35</v>
      </c>
      <c r="S52" s="65" t="n">
        <f aca="false">-Tax!S16</f>
        <v>-3033.35</v>
      </c>
      <c r="T52" s="65" t="n">
        <f aca="false">-Tax!T16</f>
        <v>-3033.35</v>
      </c>
      <c r="U52" s="65" t="n">
        <f aca="false">-Tax!U16</f>
        <v>-3033.35</v>
      </c>
      <c r="V52" s="65" t="n">
        <f aca="false">-Tax!V16</f>
        <v>-3033.35</v>
      </c>
      <c r="W52" s="65" t="n">
        <f aca="false">-Tax!W16</f>
        <v>-3033.35</v>
      </c>
      <c r="X52" s="65" t="n">
        <f aca="false">-Tax!X16</f>
        <v>-3033.35</v>
      </c>
      <c r="Y52" s="65" t="n">
        <f aca="false">-Tax!Y16</f>
        <v>-3033.35</v>
      </c>
      <c r="Z52" s="65" t="n">
        <f aca="false">-Tax!Z16</f>
        <v>-3033.35</v>
      </c>
      <c r="AA52" s="65" t="n">
        <f aca="false">-Tax!AA16</f>
        <v>-3033.35</v>
      </c>
      <c r="AB52" s="65" t="n">
        <f aca="false">-Tax!AB16</f>
        <v>-3033.35</v>
      </c>
    </row>
    <row r="53" customFormat="false" ht="15" hidden="false" customHeight="false" outlineLevel="0" collapsed="false">
      <c r="A53" s="28" t="s">
        <v>512</v>
      </c>
      <c r="B53" s="63" t="s">
        <v>501</v>
      </c>
      <c r="C53" s="64" t="n">
        <f aca="false">SUM(E53:P53)</f>
        <v>-660233.343104556</v>
      </c>
      <c r="D53" s="64" t="n">
        <f aca="false">SUM(Q53:AB53)</f>
        <v>-991547.588814931</v>
      </c>
      <c r="E53" s="65" t="n">
        <f aca="false">-VAT!E14</f>
        <v>-115679.1</v>
      </c>
      <c r="F53" s="65" t="n">
        <f aca="false">-VAT!F14</f>
        <v>-0</v>
      </c>
      <c r="G53" s="65" t="n">
        <f aca="false">-VAT!G14</f>
        <v>-0</v>
      </c>
      <c r="H53" s="65" t="n">
        <f aca="false">-VAT!H14</f>
        <v>-219166.46</v>
      </c>
      <c r="I53" s="65" t="n">
        <f aca="false">-VAT!I14</f>
        <v>-0</v>
      </c>
      <c r="J53" s="65" t="n">
        <f aca="false">-VAT!J14</f>
        <v>-0</v>
      </c>
      <c r="K53" s="65" t="n">
        <f aca="false">-VAT!K14</f>
        <v>-190125.19</v>
      </c>
      <c r="L53" s="65" t="n">
        <f aca="false">-VAT!L14</f>
        <v>-0</v>
      </c>
      <c r="M53" s="65" t="n">
        <f aca="false">-VAT!M14</f>
        <v>-0</v>
      </c>
      <c r="N53" s="65" t="n">
        <f aca="false">-VAT!N14</f>
        <v>-135262.593104556</v>
      </c>
      <c r="O53" s="65" t="n">
        <f aca="false">-VAT!O14</f>
        <v>-0</v>
      </c>
      <c r="P53" s="65" t="n">
        <f aca="false">-VAT!P14</f>
        <v>-0</v>
      </c>
      <c r="Q53" s="65" t="n">
        <f aca="false">-VAT!Q14</f>
        <v>-162699.339680706</v>
      </c>
      <c r="R53" s="65" t="n">
        <f aca="false">-VAT!R14</f>
        <v>-109527.27050331</v>
      </c>
      <c r="S53" s="65" t="n">
        <f aca="false">-VAT!S14</f>
        <v>-44638.2814371814</v>
      </c>
      <c r="T53" s="65" t="n">
        <f aca="false">-VAT!T14</f>
        <v>-92019.2127790747</v>
      </c>
      <c r="U53" s="65" t="n">
        <f aca="false">-VAT!U14</f>
        <v>-91518.029975987</v>
      </c>
      <c r="V53" s="65" t="n">
        <f aca="false">-VAT!V14</f>
        <v>-55485.284267254</v>
      </c>
      <c r="W53" s="65" t="n">
        <f aca="false">-VAT!W14</f>
        <v>-88188.8511039786</v>
      </c>
      <c r="X53" s="65" t="n">
        <f aca="false">-VAT!X14</f>
        <v>-62130.7578128482</v>
      </c>
      <c r="Y53" s="65" t="n">
        <f aca="false">-VAT!Y14</f>
        <v>-49272.3203709621</v>
      </c>
      <c r="Z53" s="65" t="n">
        <f aca="false">-VAT!Z14</f>
        <v>-72220.7051788838</v>
      </c>
      <c r="AA53" s="65" t="n">
        <f aca="false">-VAT!AA14</f>
        <v>-77643.6294594498</v>
      </c>
      <c r="AB53" s="65" t="n">
        <f aca="false">-VAT!AB14</f>
        <v>-86203.9062452958</v>
      </c>
    </row>
    <row r="54" customFormat="false" ht="15" hidden="false" customHeight="false" outlineLevel="0" collapsed="false">
      <c r="A54" s="28" t="s">
        <v>410</v>
      </c>
      <c r="B54" s="63" t="s">
        <v>501</v>
      </c>
      <c r="C54" s="64" t="n">
        <f aca="false">SUM(E54:P54)</f>
        <v>0</v>
      </c>
      <c r="D54" s="64" t="n">
        <f aca="false">SUM(Q54:AB54)</f>
        <v>0</v>
      </c>
      <c r="E54" s="65" t="n">
        <f aca="false">-Tax!E27</f>
        <v>-0</v>
      </c>
      <c r="F54" s="65" t="n">
        <f aca="false">-Tax!F27</f>
        <v>-0</v>
      </c>
      <c r="G54" s="65" t="n">
        <f aca="false">-Tax!G27</f>
        <v>-0</v>
      </c>
      <c r="H54" s="65" t="n">
        <f aca="false">-Tax!H27</f>
        <v>-0</v>
      </c>
      <c r="I54" s="65" t="n">
        <f aca="false">-Tax!I27</f>
        <v>-0</v>
      </c>
      <c r="J54" s="65" t="n">
        <f aca="false">-Tax!J27</f>
        <v>-0</v>
      </c>
      <c r="K54" s="65" t="n">
        <f aca="false">-Tax!K27</f>
        <v>-0</v>
      </c>
      <c r="L54" s="65" t="n">
        <f aca="false">-Tax!L27</f>
        <v>-0</v>
      </c>
      <c r="M54" s="65" t="n">
        <f aca="false">-Tax!M27</f>
        <v>-0</v>
      </c>
      <c r="N54" s="65" t="n">
        <f aca="false">-Tax!N27</f>
        <v>-0</v>
      </c>
      <c r="O54" s="65" t="n">
        <f aca="false">-Tax!O27</f>
        <v>-0</v>
      </c>
      <c r="P54" s="65" t="n">
        <f aca="false">-Tax!P27</f>
        <v>-0</v>
      </c>
      <c r="Q54" s="65" t="n">
        <f aca="false">-Tax!Q27</f>
        <v>-0</v>
      </c>
      <c r="R54" s="65" t="n">
        <f aca="false">-Tax!R27</f>
        <v>-0</v>
      </c>
      <c r="S54" s="65" t="n">
        <f aca="false">-Tax!S27</f>
        <v>-0</v>
      </c>
      <c r="T54" s="65" t="n">
        <f aca="false">-Tax!T27</f>
        <v>-0</v>
      </c>
      <c r="U54" s="65" t="n">
        <f aca="false">-Tax!U27</f>
        <v>-0</v>
      </c>
      <c r="V54" s="65" t="n">
        <f aca="false">-Tax!V27</f>
        <v>-0</v>
      </c>
      <c r="W54" s="65" t="n">
        <f aca="false">-Tax!W27</f>
        <v>-0</v>
      </c>
      <c r="X54" s="65" t="n">
        <f aca="false">-Tax!X27</f>
        <v>-0</v>
      </c>
      <c r="Y54" s="65" t="n">
        <f aca="false">-Tax!Y27</f>
        <v>-0</v>
      </c>
      <c r="Z54" s="65" t="n">
        <f aca="false">-Tax!Z27</f>
        <v>-0</v>
      </c>
      <c r="AA54" s="65" t="n">
        <f aca="false">-Tax!AA27</f>
        <v>-0</v>
      </c>
      <c r="AB54" s="65" t="n">
        <f aca="false">-Tax!AB27</f>
        <v>-0</v>
      </c>
    </row>
    <row r="55" customFormat="false" ht="15" hidden="false" customHeight="false" outlineLevel="0" collapsed="false">
      <c r="A55" s="28" t="s">
        <v>513</v>
      </c>
      <c r="B55" s="63" t="s">
        <v>501</v>
      </c>
      <c r="C55" s="64" t="n">
        <f aca="false">SUM(E55:P55)</f>
        <v>-205138.8885</v>
      </c>
      <c r="D55" s="64" t="n">
        <f aca="false">SUM(Q55:AB55)</f>
        <v>-148749.9951</v>
      </c>
      <c r="E55" s="65" t="n">
        <f aca="false">-Financing!E11</f>
        <v>-17500</v>
      </c>
      <c r="F55" s="65" t="n">
        <f aca="false">-Financing!F11</f>
        <v>-17500</v>
      </c>
      <c r="G55" s="65" t="n">
        <f aca="false">-Financing!G11</f>
        <v>-17500</v>
      </c>
      <c r="H55" s="65" t="n">
        <f aca="false">-Financing!H11</f>
        <v>-17500</v>
      </c>
      <c r="I55" s="65" t="n">
        <f aca="false">-Financing!I11</f>
        <v>-17500</v>
      </c>
      <c r="J55" s="65" t="n">
        <f aca="false">-Financing!J11</f>
        <v>-17500</v>
      </c>
      <c r="K55" s="65" t="n">
        <f aca="false">-Financing!K11</f>
        <v>-17500</v>
      </c>
      <c r="L55" s="65" t="n">
        <f aca="false">-Financing!L11</f>
        <v>-17500</v>
      </c>
      <c r="M55" s="65" t="n">
        <f aca="false">-Financing!M11</f>
        <v>-17013.88885</v>
      </c>
      <c r="N55" s="65" t="n">
        <f aca="false">-Financing!N11</f>
        <v>-16527.7777</v>
      </c>
      <c r="O55" s="65" t="n">
        <f aca="false">-Financing!O11</f>
        <v>-16041.66655</v>
      </c>
      <c r="P55" s="65" t="n">
        <f aca="false">-Financing!P11</f>
        <v>-15555.5554</v>
      </c>
      <c r="Q55" s="65" t="n">
        <f aca="false">-Financing!Q11</f>
        <v>-15069.44425</v>
      </c>
      <c r="R55" s="65" t="n">
        <f aca="false">-Financing!R11</f>
        <v>-14583.3331</v>
      </c>
      <c r="S55" s="65" t="n">
        <f aca="false">-Financing!S11</f>
        <v>-14097.22195</v>
      </c>
      <c r="T55" s="65" t="n">
        <f aca="false">-Financing!T11</f>
        <v>-13611.1108</v>
      </c>
      <c r="U55" s="65" t="n">
        <f aca="false">-Financing!U11</f>
        <v>-13124.99965</v>
      </c>
      <c r="V55" s="65" t="n">
        <f aca="false">-Financing!V11</f>
        <v>-12638.8885</v>
      </c>
      <c r="W55" s="65" t="n">
        <f aca="false">-Financing!W11</f>
        <v>-12152.77735</v>
      </c>
      <c r="X55" s="65" t="n">
        <f aca="false">-Financing!X11</f>
        <v>-11666.6662</v>
      </c>
      <c r="Y55" s="65" t="n">
        <f aca="false">-Financing!Y11</f>
        <v>-11180.55505</v>
      </c>
      <c r="Z55" s="65" t="n">
        <f aca="false">-Financing!Z11</f>
        <v>-10694.4439</v>
      </c>
      <c r="AA55" s="65" t="n">
        <f aca="false">-Financing!AA11</f>
        <v>-10208.33275</v>
      </c>
      <c r="AB55" s="65" t="n">
        <f aca="false">-Financing!AB11</f>
        <v>-9722.22159999999</v>
      </c>
    </row>
    <row r="56" customFormat="false" ht="15" hidden="false" customHeight="false" outlineLevel="0" collapsed="false">
      <c r="A56" s="28" t="s">
        <v>514</v>
      </c>
      <c r="B56" s="63" t="s">
        <v>501</v>
      </c>
      <c r="C56" s="64" t="n">
        <f aca="false">SUM(E56:P56)</f>
        <v>-277777.8</v>
      </c>
      <c r="D56" s="64" t="n">
        <f aca="false">SUM(Q56:AB56)</f>
        <v>-666666.72</v>
      </c>
      <c r="E56" s="65" t="n">
        <f aca="false">-Financing!E9</f>
        <v>-0</v>
      </c>
      <c r="F56" s="65" t="n">
        <f aca="false">-Financing!F9</f>
        <v>-0</v>
      </c>
      <c r="G56" s="65" t="n">
        <f aca="false">-Financing!G9</f>
        <v>-0</v>
      </c>
      <c r="H56" s="65" t="n">
        <f aca="false">-Financing!H9</f>
        <v>-0</v>
      </c>
      <c r="I56" s="65" t="n">
        <f aca="false">-Financing!I9</f>
        <v>-0</v>
      </c>
      <c r="J56" s="65" t="n">
        <f aca="false">-Financing!J9</f>
        <v>-0</v>
      </c>
      <c r="K56" s="65" t="n">
        <f aca="false">-Financing!K9</f>
        <v>-0</v>
      </c>
      <c r="L56" s="65" t="n">
        <f aca="false">-Financing!L9</f>
        <v>-55555.56</v>
      </c>
      <c r="M56" s="65" t="n">
        <f aca="false">-Financing!M9</f>
        <v>-55555.56</v>
      </c>
      <c r="N56" s="65" t="n">
        <f aca="false">-Financing!N9</f>
        <v>-55555.56</v>
      </c>
      <c r="O56" s="65" t="n">
        <f aca="false">-Financing!O9</f>
        <v>-55555.56</v>
      </c>
      <c r="P56" s="65" t="n">
        <f aca="false">-Financing!P9</f>
        <v>-55555.56</v>
      </c>
      <c r="Q56" s="65" t="n">
        <f aca="false">-Financing!Q9</f>
        <v>-55555.56</v>
      </c>
      <c r="R56" s="65" t="n">
        <f aca="false">-Financing!R9</f>
        <v>-55555.56</v>
      </c>
      <c r="S56" s="65" t="n">
        <f aca="false">-Financing!S9</f>
        <v>-55555.56</v>
      </c>
      <c r="T56" s="65" t="n">
        <f aca="false">-Financing!T9</f>
        <v>-55555.56</v>
      </c>
      <c r="U56" s="65" t="n">
        <f aca="false">-Financing!U9</f>
        <v>-55555.56</v>
      </c>
      <c r="V56" s="65" t="n">
        <f aca="false">-Financing!V9</f>
        <v>-55555.56</v>
      </c>
      <c r="W56" s="65" t="n">
        <f aca="false">-Financing!W9</f>
        <v>-55555.56</v>
      </c>
      <c r="X56" s="65" t="n">
        <f aca="false">-Financing!X9</f>
        <v>-55555.56</v>
      </c>
      <c r="Y56" s="65" t="n">
        <f aca="false">-Financing!Y9</f>
        <v>-55555.56</v>
      </c>
      <c r="Z56" s="65" t="n">
        <f aca="false">-Financing!Z9</f>
        <v>-55555.56</v>
      </c>
      <c r="AA56" s="65" t="n">
        <f aca="false">-Financing!AA9</f>
        <v>-55555.56</v>
      </c>
      <c r="AB56" s="65" t="n">
        <f aca="false">-Financing!AB9</f>
        <v>-55555.56</v>
      </c>
    </row>
    <row r="57" customFormat="false" ht="15" hidden="false" customHeight="false" outlineLevel="0" collapsed="false">
      <c r="A57" s="59" t="s">
        <v>515</v>
      </c>
      <c r="B57" s="60"/>
      <c r="C57" s="61" t="n">
        <f aca="false">SUM(E57:P57)</f>
        <v>-1504909.51661708</v>
      </c>
      <c r="D57" s="61" t="n">
        <f aca="false">SUM(Q57:AB57)</f>
        <v>-1653799.72000831</v>
      </c>
      <c r="E57" s="61" t="n">
        <f aca="false">E41+E42+E43+E44+E45+E46+E47+E48+E49+E50+E51+E52+E53+E54+E55+E56</f>
        <v>-347751.8184</v>
      </c>
      <c r="F57" s="61" t="n">
        <f aca="false">F41+F42+F43+F44+F45+F46+F47+F48+F49+F50+F51+F52+F53+F54+F55+F56</f>
        <v>142969.54465</v>
      </c>
      <c r="G57" s="61" t="n">
        <f aca="false">G41+G42+G43+G44+G45+G46+G47+G48+G49+G50+G51+G52+G53+G54+G55+G56</f>
        <v>131805.22795</v>
      </c>
      <c r="H57" s="61" t="n">
        <f aca="false">H41+H42+H43+H44+H45+H46+H47+H48+H49+H50+H51+H52+H53+H54+H55+H56</f>
        <v>-419895.7308</v>
      </c>
      <c r="I57" s="61" t="n">
        <f aca="false">I41+I42+I43+I44+I45+I46+I47+I48+I49+I50+I51+I52+I53+I54+I55+I56</f>
        <v>179314.3149</v>
      </c>
      <c r="J57" s="61" t="n">
        <f aca="false">J41+J42+J43+J44+J45+J46+J47+J48+J49+J50+J51+J52+J53+J54+J55+J56</f>
        <v>-151402.03435</v>
      </c>
      <c r="K57" s="61" t="n">
        <f aca="false">K41+K42+K43+K44+K45+K46+K47+K48+K49+K50+K51+K52+K53+K54+K55+K56</f>
        <v>-426274.79795</v>
      </c>
      <c r="L57" s="61" t="n">
        <f aca="false">L41+L42+L43+L44+L45+L46+L47+L48+L49+L50+L51+L52+L53+L54+L55+L56</f>
        <v>5451.93410000009</v>
      </c>
      <c r="M57" s="61" t="n">
        <f aca="false">M41+M42+M43+M44+M45+M46+M47+M48+M49+M50+M51+M52+M53+M54+M55+M56</f>
        <v>-87144.9777581627</v>
      </c>
      <c r="N57" s="61" t="n">
        <f aca="false">N41+N42+N43+N44+N45+N46+N47+N48+N49+N50+N51+N52+N53+N54+N55+N56</f>
        <v>-336128.567255694</v>
      </c>
      <c r="O57" s="61" t="n">
        <f aca="false">O41+O42+O43+O44+O45+O46+O47+O48+O49+O50+O51+O52+O53+O54+O55+O56</f>
        <v>35825.7605816957</v>
      </c>
      <c r="P57" s="61" t="n">
        <f aca="false">P41+P42+P43+P44+P45+P46+P47+P48+P49+P50+P51+P52+P53+P54+P55+P56</f>
        <v>-231678.372284916</v>
      </c>
      <c r="Q57" s="61" t="n">
        <f aca="false">Q41+Q42+Q43+Q44+Q45+Q46+Q47+Q48+Q49+Q50+Q51+Q52+Q53+Q54+Q55+Q56</f>
        <v>-389803.106540957</v>
      </c>
      <c r="R57" s="61" t="n">
        <f aca="false">R41+R42+R43+R44+R45+R46+R47+R48+R49+R50+R51+R52+R53+R54+R55+R56</f>
        <v>-54032.5942652193</v>
      </c>
      <c r="S57" s="61" t="n">
        <f aca="false">S41+S42+S43+S44+S45+S46+S47+S48+S49+S50+S51+S52+S53+S54+S55+S56</f>
        <v>39327.4858175776</v>
      </c>
      <c r="T57" s="61" t="n">
        <f aca="false">T41+T42+T43+T44+T45+T46+T47+T48+T49+T50+T51+T52+T53+T54+T55+T56</f>
        <v>-170043.671670352</v>
      </c>
      <c r="U57" s="61" t="n">
        <f aca="false">U41+U42+U43+U44+U45+U46+U47+U48+U49+U50+U51+U52+U53+U54+U55+U56</f>
        <v>67765.9667913083</v>
      </c>
      <c r="V57" s="61" t="n">
        <f aca="false">V41+V42+V43+V44+V45+V46+V47+V48+V49+V50+V51+V52+V53+V54+V55+V56</f>
        <v>-315220.376277115</v>
      </c>
      <c r="W57" s="61" t="n">
        <f aca="false">W41+W42+W43+W44+W45+W46+W47+W48+W49+W50+W51+W52+W53+W54+W55+W56</f>
        <v>-192794.42384851</v>
      </c>
      <c r="X57" s="61" t="n">
        <f aca="false">X41+X42+X43+X44+X45+X46+X47+X48+X49+X50+X51+X52+X53+X54+X55+X56</f>
        <v>7493.46555921223</v>
      </c>
      <c r="Y57" s="61" t="n">
        <f aca="false">Y41+Y42+Y43+Y44+Y45+Y46+Y47+Y48+Y49+Y50+Y51+Y52+Y53+Y54+Y55+Y56</f>
        <v>-149452.480553397</v>
      </c>
      <c r="Z57" s="61" t="n">
        <f aca="false">Z41+Z42+Z43+Z44+Z45+Z46+Z47+Z48+Z49+Z50+Z51+Z52+Z53+Z54+Z55+Z56</f>
        <v>-151135.525248409</v>
      </c>
      <c r="AA57" s="61" t="n">
        <f aca="false">AA41+AA42+AA43+AA44+AA45+AA46+AA47+AA48+AA49+AA50+AA51+AA52+AA53+AA54+AA55+AA56</f>
        <v>-16848.6580257688</v>
      </c>
      <c r="AB57" s="61" t="n">
        <f aca="false">AB41+AB42+AB43+AB44+AB45+AB46+AB47+AB48+AB49+AB50+AB51+AB52+AB53+AB54+AB55+AB56</f>
        <v>-329055.801746682</v>
      </c>
    </row>
    <row r="58" customFormat="false" ht="15" hidden="false" customHeight="false" outlineLevel="0" collapsed="false">
      <c r="A58" s="59" t="s">
        <v>516</v>
      </c>
      <c r="B58" s="60"/>
      <c r="C58" s="61" t="n">
        <f aca="false">SUM(E58:P58)</f>
        <v>0</v>
      </c>
      <c r="D58" s="61" t="n">
        <f aca="false">SUM(Q58:AB58)</f>
        <v>0</v>
      </c>
      <c r="E58" s="61" t="n">
        <f aca="false">ROUND(E36-E57,2)</f>
        <v>0</v>
      </c>
      <c r="F58" s="61" t="n">
        <f aca="false">ROUND(F36-F57,2)</f>
        <v>0</v>
      </c>
      <c r="G58" s="61" t="n">
        <f aca="false">ROUND(G36-G57,2)</f>
        <v>0</v>
      </c>
      <c r="H58" s="61" t="n">
        <f aca="false">ROUND(H36-H57,2)</f>
        <v>0</v>
      </c>
      <c r="I58" s="61" t="n">
        <f aca="false">ROUND(I36-I57,2)</f>
        <v>0</v>
      </c>
      <c r="J58" s="61" t="n">
        <f aca="false">ROUND(J36-J57,2)</f>
        <v>0</v>
      </c>
      <c r="K58" s="61" t="n">
        <f aca="false">ROUND(K36-K57,2)</f>
        <v>0</v>
      </c>
      <c r="L58" s="61" t="n">
        <f aca="false">ROUND(L36-L57,2)</f>
        <v>-0</v>
      </c>
      <c r="M58" s="61" t="n">
        <f aca="false">ROUND(M36-M57,2)</f>
        <v>0</v>
      </c>
      <c r="N58" s="61" t="n">
        <f aca="false">ROUND(N36-N57,2)</f>
        <v>0</v>
      </c>
      <c r="O58" s="61" t="n">
        <f aca="false">ROUND(O36-O57,2)</f>
        <v>0</v>
      </c>
      <c r="P58" s="61" t="n">
        <f aca="false">ROUND(P36-P57,2)</f>
        <v>0</v>
      </c>
      <c r="Q58" s="61" t="n">
        <f aca="false">ROUND(Q36-Q57,2)</f>
        <v>0</v>
      </c>
      <c r="R58" s="61" t="n">
        <f aca="false">ROUND(R36-R57,2)</f>
        <v>-0</v>
      </c>
      <c r="S58" s="61" t="n">
        <f aca="false">ROUND(S36-S57,2)</f>
        <v>0</v>
      </c>
      <c r="T58" s="61" t="n">
        <f aca="false">ROUND(T36-T57,2)</f>
        <v>0</v>
      </c>
      <c r="U58" s="61" t="n">
        <f aca="false">ROUND(U36-U57,2)</f>
        <v>-0</v>
      </c>
      <c r="V58" s="61" t="n">
        <f aca="false">ROUND(V36-V57,2)</f>
        <v>0</v>
      </c>
      <c r="W58" s="61" t="n">
        <f aca="false">ROUND(W36-W57,2)</f>
        <v>0</v>
      </c>
      <c r="X58" s="61" t="n">
        <f aca="false">ROUND(X36-X57,2)</f>
        <v>-0</v>
      </c>
      <c r="Y58" s="61" t="n">
        <f aca="false">ROUND(Y36-Y57,2)</f>
        <v>0</v>
      </c>
      <c r="Z58" s="61" t="n">
        <f aca="false">ROUND(Z36-Z57,2)</f>
        <v>0</v>
      </c>
      <c r="AA58" s="61" t="n">
        <f aca="false">ROUND(AA36-AA57,2)</f>
        <v>0</v>
      </c>
      <c r="AB58" s="61" t="n">
        <f aca="false">ROUND(AB36-AB57,2)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1"/>
    <col collapsed="false" customWidth="true" hidden="false" outlineLevel="0" max="8" min="6" style="0" width="14"/>
    <col collapsed="false" customWidth="true" hidden="false" outlineLevel="0" max="9" min="9" style="0" width="11"/>
    <col collapsed="false" customWidth="true" hidden="false" outlineLevel="0" max="10" min="10" style="0" width="70"/>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517</v>
      </c>
    </row>
    <row r="3" customFormat="false" ht="15" hidden="false" customHeight="false" outlineLevel="0" collapsed="false">
      <c r="A3" s="25" t="s">
        <v>518</v>
      </c>
    </row>
    <row r="5" customFormat="false" ht="15" hidden="false" customHeight="false" outlineLevel="0" collapsed="false">
      <c r="A5" s="26" t="s">
        <v>325</v>
      </c>
      <c r="B5" s="27" t="s">
        <v>519</v>
      </c>
      <c r="C5" s="27" t="s">
        <v>520</v>
      </c>
      <c r="D5" s="27" t="s">
        <v>521</v>
      </c>
      <c r="E5" s="27" t="s">
        <v>522</v>
      </c>
      <c r="F5" s="27" t="s">
        <v>523</v>
      </c>
      <c r="G5" s="27" t="s">
        <v>524</v>
      </c>
      <c r="H5" s="27" t="s">
        <v>521</v>
      </c>
      <c r="I5" s="27" t="s">
        <v>522</v>
      </c>
      <c r="J5" s="27" t="s">
        <v>525</v>
      </c>
    </row>
    <row r="6" customFormat="false" ht="15" hidden="false" customHeight="false" outlineLevel="0" collapsed="false">
      <c r="A6" s="22" t="s">
        <v>526</v>
      </c>
      <c r="B6" s="23"/>
      <c r="C6" s="23"/>
      <c r="D6" s="23"/>
      <c r="E6" s="23"/>
      <c r="F6" s="23"/>
      <c r="G6" s="23"/>
      <c r="H6" s="23"/>
      <c r="I6" s="23"/>
      <c r="J6" s="23"/>
    </row>
    <row r="7" customFormat="false" ht="15" hidden="false" customHeight="false" outlineLevel="0" collapsed="false">
      <c r="A7" s="28" t="s">
        <v>527</v>
      </c>
      <c r="B7" s="65" t="n">
        <f aca="false">INDEX(ARR_Bridge!$E$15:$AB$15,Assumptions!$C$10)</f>
        <v>193793.2</v>
      </c>
      <c r="C7" s="65" t="n">
        <f aca="false">INDEX(Budget_FY26!$E$14:$P$14,Assumptions!$C$10)</f>
        <v>212206.83</v>
      </c>
      <c r="D7" s="74" t="n">
        <f aca="false">B7-C7</f>
        <v>-18413.63</v>
      </c>
      <c r="E7" s="75" t="n">
        <f aca="false">IF(C7=0,0,D7/ABS(C7))</f>
        <v>-0.0867720892866644</v>
      </c>
      <c r="F7" s="65" t="n">
        <f aca="false">ARR_Bridge!$C$15</f>
        <v>206620.769301376</v>
      </c>
      <c r="G7" s="65" t="n">
        <f aca="false">Budget_FY26!$C$14</f>
        <v>232081.83</v>
      </c>
      <c r="H7" s="74" t="n">
        <f aca="false">F7-G7</f>
        <v>-25461.0606986239</v>
      </c>
      <c r="I7" s="75" t="n">
        <f aca="false">IF(G7=0,0,H7/ABS(G7))</f>
        <v>-0.109707255835685</v>
      </c>
    </row>
    <row r="8" customFormat="false" ht="15" hidden="false" customHeight="false" outlineLevel="0" collapsed="false">
      <c r="A8" s="28" t="s">
        <v>528</v>
      </c>
      <c r="B8" s="65" t="n">
        <f aca="false">INDEX(ARR_Bridge!$E$30:$AB$30,Assumptions!$C$10)</f>
        <v>187368.91</v>
      </c>
      <c r="C8" s="65" t="n">
        <f aca="false">INDEX(Budget_FY26!$E$24:$P$24,Assumptions!$C$10)</f>
        <v>200531.57</v>
      </c>
      <c r="D8" s="74" t="n">
        <f aca="false">B8-C8</f>
        <v>-13162.66</v>
      </c>
      <c r="E8" s="75" t="n">
        <f aca="false">IF(C8=0,0,D8/ABS(C8))</f>
        <v>-0.0656388418043104</v>
      </c>
      <c r="F8" s="65" t="n">
        <f aca="false">ARR_Bridge!$C$30</f>
        <v>206169.015987616</v>
      </c>
      <c r="G8" s="65" t="n">
        <f aca="false">Budget_FY26!$C$24</f>
        <v>225738.57</v>
      </c>
      <c r="H8" s="74" t="n">
        <f aca="false">F8-G8</f>
        <v>-19569.5540123841</v>
      </c>
      <c r="I8" s="75" t="n">
        <f aca="false">IF(G8=0,0,H8/ABS(G8))</f>
        <v>-0.0866912287624754</v>
      </c>
    </row>
    <row r="9" customFormat="false" ht="15" hidden="false" customHeight="false" outlineLevel="0" collapsed="false">
      <c r="A9" s="28" t="s">
        <v>529</v>
      </c>
      <c r="B9" s="65" t="n">
        <f aca="false">INDEX(ARR_Bridge!$E$45:$AB$45,Assumptions!$C$10)</f>
        <v>152311.25</v>
      </c>
      <c r="C9" s="65" t="n">
        <f aca="false">INDEX(Budget_FY26!$E$34:$P$34,Assumptions!$C$10)</f>
        <v>156543.86</v>
      </c>
      <c r="D9" s="74" t="n">
        <f aca="false">B9-C9</f>
        <v>-4232.60999999999</v>
      </c>
      <c r="E9" s="75" t="n">
        <f aca="false">IF(C9=0,0,D9/ABS(C9))</f>
        <v>-0.0270378538002065</v>
      </c>
      <c r="F9" s="65" t="n">
        <f aca="false">ARR_Bridge!$C$45</f>
        <v>161272.84863704</v>
      </c>
      <c r="G9" s="65" t="n">
        <f aca="false">Budget_FY26!$C$34</f>
        <v>174988.86</v>
      </c>
      <c r="H9" s="74" t="n">
        <f aca="false">F9-G9</f>
        <v>-13716.01136296</v>
      </c>
      <c r="I9" s="75" t="n">
        <f aca="false">IF(G9=0,0,H9/ABS(G9))</f>
        <v>-0.0783821973750785</v>
      </c>
    </row>
    <row r="10" customFormat="false" ht="15" hidden="false" customHeight="false" outlineLevel="0" collapsed="false">
      <c r="A10" s="76" t="s">
        <v>530</v>
      </c>
      <c r="B10" s="62" t="n">
        <f aca="false">INDEX(ARR_Bridge!$E$60:$AB$60,Assumptions!$C$10)</f>
        <v>533473.36</v>
      </c>
      <c r="C10" s="62" t="n">
        <f aca="false">INDEX(Budget_FY26!$E$39:$P$39,Assumptions!$C$10)</f>
        <v>569282.26</v>
      </c>
      <c r="D10" s="61" t="n">
        <f aca="false">B10-C10</f>
        <v>-35808.9</v>
      </c>
      <c r="E10" s="77" t="n">
        <f aca="false">IF(C10=0,0,D10/ABS(C10))</f>
        <v>-0.0629018371308462</v>
      </c>
      <c r="F10" s="62" t="n">
        <f aca="false">ARR_Bridge!$C$60</f>
        <v>574062.633926032</v>
      </c>
      <c r="G10" s="62" t="n">
        <f aca="false">Budget_FY26!$C$39</f>
        <v>632809.26</v>
      </c>
      <c r="H10" s="61" t="n">
        <f aca="false">F10-G10</f>
        <v>-58746.626073968</v>
      </c>
      <c r="I10" s="77" t="n">
        <f aca="false">IF(G10=0,0,H10/ABS(G10))</f>
        <v>-0.0928346498500481</v>
      </c>
      <c r="J10" s="78" t="str">
        <f aca="false">"Revenue effect of each movement: see the bridge below."</f>
        <v>Revenue effect of each movement: see the bridge below.</v>
      </c>
    </row>
    <row r="11" customFormat="false" ht="15" hidden="false" customHeight="false" outlineLevel="0" collapsed="false">
      <c r="A11" s="76" t="s">
        <v>334</v>
      </c>
      <c r="B11" s="62" t="n">
        <f aca="false">INDEX(ARR_Bridge!$E$61:$AB$61,Assumptions!$C$10)</f>
        <v>6401680.32</v>
      </c>
      <c r="C11" s="62" t="n">
        <f aca="false">INDEX(Budget_FY26!$E$40:$P$40,Assumptions!$C$10)</f>
        <v>6831387.12</v>
      </c>
      <c r="D11" s="61" t="n">
        <f aca="false">B11-C11</f>
        <v>-429706.8</v>
      </c>
      <c r="E11" s="77" t="n">
        <f aca="false">IF(C11=0,0,D11/ABS(C11))</f>
        <v>-0.0629018371308461</v>
      </c>
      <c r="F11" s="62" t="n">
        <f aca="false">ARR_Bridge!$C$61</f>
        <v>6888751.60711238</v>
      </c>
      <c r="G11" s="62" t="n">
        <f aca="false">Budget_FY26!$C$40</f>
        <v>7593711.12</v>
      </c>
      <c r="H11" s="61" t="n">
        <f aca="false">F11-G11</f>
        <v>-704959.512887617</v>
      </c>
      <c r="I11" s="77" t="n">
        <f aca="false">IF(G11=0,0,H11/ABS(G11))</f>
        <v>-0.0928346498500481</v>
      </c>
      <c r="J11" s="79"/>
    </row>
    <row r="12" customFormat="false" ht="15" hidden="false" customHeight="false" outlineLevel="0" collapsed="false">
      <c r="A12" s="28" t="s">
        <v>531</v>
      </c>
      <c r="B12" s="69" t="n">
        <f aca="false">INDEX(ARR_Bridge!$E$17:$AB$17,Assumptions!$C$10)</f>
        <v>791</v>
      </c>
      <c r="C12" s="69" t="n">
        <f aca="false">INDEX(Budget_FY26!$E$17:$P$17,Assumptions!$C$10)</f>
        <v>871</v>
      </c>
      <c r="D12" s="80" t="n">
        <f aca="false">B12-C12</f>
        <v>-80</v>
      </c>
      <c r="E12" s="75" t="n">
        <f aca="false">IF(C12=0,0,D12/ABS(C12))</f>
        <v>-0.0918484500574053</v>
      </c>
      <c r="F12" s="69" t="n">
        <f aca="false">ARR_Bridge!$C$17</f>
        <v>829.806754265798</v>
      </c>
      <c r="G12" s="69" t="n">
        <f aca="false">Budget_FY26!$C$17</f>
        <v>940.2</v>
      </c>
      <c r="H12" s="80" t="n">
        <f aca="false">F12-G12</f>
        <v>-110.393245734202</v>
      </c>
      <c r="I12" s="75" t="n">
        <f aca="false">IF(G12=0,0,H12/ABS(G12))</f>
        <v>-0.117414641282921</v>
      </c>
    </row>
    <row r="13" customFormat="false" ht="15" hidden="false" customHeight="false" outlineLevel="0" collapsed="false">
      <c r="A13" s="28" t="s">
        <v>532</v>
      </c>
      <c r="B13" s="69" t="n">
        <f aca="false">INDEX(ARR_Bridge!$E$32:$AB$32,Assumptions!$C$10)</f>
        <v>165</v>
      </c>
      <c r="C13" s="69" t="n">
        <f aca="false">INDEX(Budget_FY26!$E$27:$P$27,Assumptions!$C$10)</f>
        <v>177.9</v>
      </c>
      <c r="D13" s="80" t="n">
        <f aca="false">B13-C13</f>
        <v>-12.9</v>
      </c>
      <c r="E13" s="75" t="n">
        <f aca="false">IF(C13=0,0,D13/ABS(C13))</f>
        <v>-0.0725126475548062</v>
      </c>
      <c r="F13" s="69" t="n">
        <f aca="false">ARR_Bridge!$C$32</f>
        <v>176.98722</v>
      </c>
      <c r="G13" s="69" t="n">
        <f aca="false">Budget_FY26!$C$27</f>
        <v>196.2</v>
      </c>
      <c r="H13" s="80" t="n">
        <f aca="false">F13-G13</f>
        <v>-19.21278</v>
      </c>
      <c r="I13" s="75" t="n">
        <f aca="false">IF(G13=0,0,H13/ABS(G13))</f>
        <v>-0.0979244648318043</v>
      </c>
    </row>
    <row r="14" customFormat="false" ht="15" hidden="false" customHeight="false" outlineLevel="0" collapsed="false">
      <c r="A14" s="28" t="s">
        <v>533</v>
      </c>
      <c r="B14" s="69" t="n">
        <f aca="false">INDEX(ARR_Bridge!$E$47:$AB$47,Assumptions!$C$10)</f>
        <v>21</v>
      </c>
      <c r="C14" s="69" t="n">
        <f aca="false">INDEX(Budget_FY26!$E$37:$P$37,Assumptions!$C$10)</f>
        <v>22</v>
      </c>
      <c r="D14" s="80" t="n">
        <f aca="false">B14-C14</f>
        <v>-1</v>
      </c>
      <c r="E14" s="75" t="n">
        <f aca="false">IF(C14=0,0,D14/ABS(C14))</f>
        <v>-0.0454545454545455</v>
      </c>
      <c r="F14" s="69" t="n">
        <f aca="false">ARR_Bridge!$C$47</f>
        <v>21.64</v>
      </c>
      <c r="G14" s="69" t="n">
        <f aca="false">Budget_FY26!$C$37</f>
        <v>24</v>
      </c>
      <c r="H14" s="80" t="n">
        <f aca="false">F14-G14</f>
        <v>-2.36</v>
      </c>
      <c r="I14" s="75" t="n">
        <f aca="false">IF(G14=0,0,H14/ABS(G14))</f>
        <v>-0.0983333333333333</v>
      </c>
    </row>
    <row r="15" customFormat="false" ht="15" hidden="false" customHeight="false" outlineLevel="0" collapsed="false">
      <c r="A15" s="76" t="s">
        <v>534</v>
      </c>
      <c r="B15" s="81" t="n">
        <f aca="false">INDEX(ARR_Bridge!$E$63:$AB$63,Assumptions!$C$10)</f>
        <v>977</v>
      </c>
      <c r="C15" s="81" t="n">
        <f aca="false">INDEX(Budget_FY26!$E$41:$P$41,Assumptions!$C$10)</f>
        <v>1070.9</v>
      </c>
      <c r="D15" s="82" t="n">
        <f aca="false">B15-C15</f>
        <v>-93.9000000000001</v>
      </c>
      <c r="E15" s="77" t="n">
        <f aca="false">IF(C15=0,0,D15/ABS(C15))</f>
        <v>-0.0876832570734897</v>
      </c>
      <c r="F15" s="81" t="n">
        <f aca="false">ARR_Bridge!$C$63</f>
        <v>1028.4339742658</v>
      </c>
      <c r="G15" s="81" t="n">
        <f aca="false">Budget_FY26!$C$41</f>
        <v>1160.4</v>
      </c>
      <c r="H15" s="82" t="n">
        <f aca="false">F15-G15</f>
        <v>-131.966025734202</v>
      </c>
      <c r="I15" s="77" t="n">
        <f aca="false">IF(G15=0,0,H15/ABS(G15))</f>
        <v>-0.113724599908826</v>
      </c>
      <c r="J15" s="79"/>
    </row>
    <row r="16" customFormat="false" ht="15" hidden="false" customHeight="false" outlineLevel="0" collapsed="false">
      <c r="A16" s="22" t="s">
        <v>368</v>
      </c>
      <c r="B16" s="23"/>
      <c r="C16" s="23"/>
      <c r="D16" s="23"/>
      <c r="E16" s="23"/>
      <c r="F16" s="23"/>
      <c r="G16" s="23"/>
      <c r="H16" s="23"/>
      <c r="I16" s="23"/>
      <c r="J16" s="23"/>
    </row>
    <row r="17" customFormat="false" ht="15" hidden="false" customHeight="false" outlineLevel="0" collapsed="false">
      <c r="A17" s="28" t="s">
        <v>371</v>
      </c>
      <c r="B17" s="65" t="n">
        <f aca="false">SUMIFS(PL!$E$9:$AB$9,Assumptions!$E$190:$AB$190,"A")</f>
        <v>1482047.61</v>
      </c>
      <c r="C17" s="65" t="n">
        <f aca="false">SUMIFS(Budget_FY26!$E$43:$P$43,Assumptions!$E$189:$P$189,"&lt;="&amp;Assumptions!$C$10)</f>
        <v>1580627.64</v>
      </c>
      <c r="D17" s="74" t="n">
        <f aca="false">B17-C17</f>
        <v>-98580.0299999998</v>
      </c>
      <c r="E17" s="75" t="n">
        <f aca="false">IF(C17=0,0,D17/ABS(C17))</f>
        <v>-0.0623676490941281</v>
      </c>
      <c r="F17" s="65" t="n">
        <f aca="false">PL!$C$9</f>
        <v>2292146.03335691</v>
      </c>
      <c r="G17" s="65" t="n">
        <f aca="false">Budget_FY26!$C$43</f>
        <v>2482612.96</v>
      </c>
      <c r="H17" s="74" t="n">
        <f aca="false">F17-G17</f>
        <v>-190466.926643086</v>
      </c>
      <c r="I17" s="75" t="n">
        <f aca="false">IF(G17=0,0,H17/ABS(G17))</f>
        <v>-0.0767203465509524</v>
      </c>
      <c r="J17" s="47" t="str">
        <f aca="false">"New customers "&amp;TEXT(SUMIFS(ARR_Bridge!$E$18:$AB$18,Assumptions!$E$190:$AB$190,"A"),"0")&amp;" against "&amp;TEXT(SUMIFS(Budget_FY26!$E$15:$P$15,Assumptions!$E$189:$P$189,"&lt;="&amp;Assumptions!$C$10),"0")&amp;" budgeted; customer churn above the budget rates."</f>
        <v>New customers 238 against 284 budgeted; customer churn above the budget rates.</v>
      </c>
    </row>
    <row r="18" customFormat="false" ht="15" hidden="false" customHeight="false" outlineLevel="0" collapsed="false">
      <c r="A18" s="28" t="s">
        <v>372</v>
      </c>
      <c r="B18" s="65" t="n">
        <f aca="false">SUMIFS(PL!$E$10:$AB$10,Assumptions!$E$190:$AB$190,"A")</f>
        <v>1393298.93</v>
      </c>
      <c r="C18" s="65" t="n">
        <f aca="false">SUMIFS(Budget_FY26!$E$44:$P$44,Assumptions!$E$189:$P$189,"&lt;="&amp;Assumptions!$C$10)</f>
        <v>1455447.56</v>
      </c>
      <c r="D18" s="74" t="n">
        <f aca="false">B18-C18</f>
        <v>-62148.6300000001</v>
      </c>
      <c r="E18" s="75" t="n">
        <f aca="false">IF(C18=0,0,D18/ABS(C18))</f>
        <v>-0.0427007002574522</v>
      </c>
      <c r="F18" s="65" t="n">
        <f aca="false">PL!$C$10</f>
        <v>2191823.57719565</v>
      </c>
      <c r="G18" s="65" t="n">
        <f aca="false">Budget_FY26!$C$44</f>
        <v>2323074.84</v>
      </c>
      <c r="H18" s="74" t="n">
        <f aca="false">F18-G18</f>
        <v>-131251.262804355</v>
      </c>
      <c r="I18" s="75" t="n">
        <f aca="false">IF(G18=0,0,H18/ABS(G18))</f>
        <v>-0.0564989386241016</v>
      </c>
      <c r="J18" s="47" t="str">
        <f aca="false">"Churn at renewal EUR "&amp;TEXT(ABS(SUMIFS(ARR_Bridge!$E$29:$AB$29,Assumptions!$E$190:$AB$190,"A"))/1000,"#,##0")&amp;"k of MRR against EUR "&amp;TEXT(ABS(SUMIFS(Budget_FY26!$E$23:$P$23,Assumptions!$E$189:$P$189,"&lt;="&amp;Assumptions!$C$10))/1000,"#,##0")&amp;"k budgeted."</f>
        <v>Churn at renewal EUR 21k of MRR against EUR 11k budgeted.</v>
      </c>
    </row>
    <row r="19" customFormat="false" ht="15" hidden="false" customHeight="false" outlineLevel="0" collapsed="false">
      <c r="A19" s="28" t="s">
        <v>373</v>
      </c>
      <c r="B19" s="65" t="n">
        <f aca="false">SUMIFS(PL!$E$11:$AB$11,Assumptions!$E$190:$AB$190,"A")</f>
        <v>1136115.14</v>
      </c>
      <c r="C19" s="65" t="n">
        <f aca="false">SUMIFS(Budget_FY26!$E$45:$P$45,Assumptions!$E$189:$P$189,"&lt;="&amp;Assumptions!$C$10)</f>
        <v>1184768.88</v>
      </c>
      <c r="D19" s="74" t="n">
        <f aca="false">B19-C19</f>
        <v>-48653.7399999998</v>
      </c>
      <c r="E19" s="75" t="n">
        <f aca="false">IF(C19=0,0,D19/ABS(C19))</f>
        <v>-0.0410660178717724</v>
      </c>
      <c r="F19" s="65" t="n">
        <f aca="false">PL!$C$11</f>
        <v>1759082.28732016</v>
      </c>
      <c r="G19" s="65" t="n">
        <f aca="false">Budget_FY26!$C$45</f>
        <v>1865530.32</v>
      </c>
      <c r="H19" s="74" t="n">
        <f aca="false">F19-G19</f>
        <v>-106448.03267984</v>
      </c>
      <c r="I19" s="75" t="n">
        <f aca="false">IF(G19=0,0,H19/ABS(G19))</f>
        <v>-0.057060467760095</v>
      </c>
      <c r="J19" s="47" t="str">
        <f aca="false">"Osterna lost at its February renewal; Belvarra and Ferrano won a month later than budgeted."</f>
        <v>Osterna lost at its February renewal; Belvarra and Ferrano won a month later than budgeted.</v>
      </c>
    </row>
    <row r="20" customFormat="false" ht="15" hidden="false" customHeight="false" outlineLevel="0" collapsed="false">
      <c r="A20" s="76" t="s">
        <v>374</v>
      </c>
      <c r="B20" s="62" t="n">
        <f aca="false">SUMIFS(PL!$E$12:$AB$12,Assumptions!$E$190:$AB$190,"A")</f>
        <v>4011461.68</v>
      </c>
      <c r="C20" s="62" t="n">
        <f aca="false">SUMIFS(Budget_FY26!$E$46:$P$46,Assumptions!$E$189:$P$189,"&lt;="&amp;Assumptions!$C$10)</f>
        <v>4220844.08</v>
      </c>
      <c r="D20" s="61" t="n">
        <f aca="false">B20-C20</f>
        <v>-209382.4</v>
      </c>
      <c r="E20" s="77" t="n">
        <f aca="false">IF(C20=0,0,D20/ABS(C20))</f>
        <v>-0.049606760172008</v>
      </c>
      <c r="F20" s="62" t="n">
        <f aca="false">PL!$C$12</f>
        <v>6243051.89787272</v>
      </c>
      <c r="G20" s="62" t="n">
        <f aca="false">Budget_FY26!$C$46</f>
        <v>6671218.12</v>
      </c>
      <c r="H20" s="61" t="n">
        <f aca="false">F20-G20</f>
        <v>-428166.22212728</v>
      </c>
      <c r="I20" s="77" t="n">
        <f aca="false">IF(G20=0,0,H20/ABS(G20))</f>
        <v>-0.0641811157161325</v>
      </c>
      <c r="J20" s="79"/>
    </row>
    <row r="21" customFormat="false" ht="15" hidden="false" customHeight="false" outlineLevel="0" collapsed="false">
      <c r="A21" s="28" t="s">
        <v>535</v>
      </c>
      <c r="B21" s="65" t="n">
        <f aca="false">SUMIFS(PL!$E$13:$AB$13,Assumptions!$E$190:$AB$190,"A")</f>
        <v>117300</v>
      </c>
      <c r="C21" s="65" t="n">
        <f aca="false">SUMIFS(Budget_FY26!$E$47:$P$47,Assumptions!$E$189:$P$189,"&lt;="&amp;Assumptions!$C$10)</f>
        <v>119784</v>
      </c>
      <c r="D21" s="74" t="n">
        <f aca="false">B21-C21</f>
        <v>-2484</v>
      </c>
      <c r="E21" s="75" t="n">
        <f aca="false">IF(C21=0,0,D21/ABS(C21))</f>
        <v>-0.0207373271889401</v>
      </c>
      <c r="F21" s="65" t="n">
        <f aca="false">PL!$C$13</f>
        <v>182921.14375</v>
      </c>
      <c r="G21" s="65" t="n">
        <f aca="false">Budget_FY26!$C$47</f>
        <v>195819</v>
      </c>
      <c r="H21" s="74" t="n">
        <f aca="false">F21-G21</f>
        <v>-12897.85625</v>
      </c>
      <c r="I21" s="75" t="n">
        <f aca="false">IF(G21=0,0,H21/ABS(G21))</f>
        <v>-0.0658662144633565</v>
      </c>
    </row>
    <row r="22" customFormat="false" ht="15" hidden="false" customHeight="false" outlineLevel="0" collapsed="false">
      <c r="A22" s="76" t="s">
        <v>376</v>
      </c>
      <c r="B22" s="62" t="n">
        <f aca="false">SUMIFS(PL!$E$14:$AB$14,Assumptions!$E$190:$AB$190,"A")</f>
        <v>4128761.68</v>
      </c>
      <c r="C22" s="62" t="n">
        <f aca="false">SUMIFS(Budget_FY26!$E$48:$P$48,Assumptions!$E$189:$P$189,"&lt;="&amp;Assumptions!$C$10)</f>
        <v>4340628.08</v>
      </c>
      <c r="D22" s="61" t="n">
        <f aca="false">B22-C22</f>
        <v>-211866.4</v>
      </c>
      <c r="E22" s="77" t="n">
        <f aca="false">IF(C22=0,0,D22/ABS(C22))</f>
        <v>-0.0488100791164766</v>
      </c>
      <c r="F22" s="62" t="n">
        <f aca="false">PL!$C$14</f>
        <v>6425973.04162272</v>
      </c>
      <c r="G22" s="62" t="n">
        <f aca="false">Budget_FY26!$C$48</f>
        <v>6867037.12</v>
      </c>
      <c r="H22" s="61" t="n">
        <f aca="false">F22-G22</f>
        <v>-441064.07837728</v>
      </c>
      <c r="I22" s="77" t="n">
        <f aca="false">IF(G22=0,0,H22/ABS(G22))</f>
        <v>-0.0642291676409753</v>
      </c>
      <c r="J22" s="79"/>
    </row>
    <row r="23" customFormat="false" ht="15" hidden="false" customHeight="false" outlineLevel="0" collapsed="false">
      <c r="A23" s="28" t="s">
        <v>379</v>
      </c>
      <c r="B23" s="65" t="n">
        <f aca="false">SUMIFS(PL!$E$17:$AB$17,Assumptions!$E$190:$AB$190,"A")</f>
        <v>-215476.95</v>
      </c>
      <c r="C23" s="65" t="n">
        <f aca="false">SUMIFS(Budget_FY26!$E$49:$P$49,Assumptions!$E$189:$P$189,"&lt;="&amp;Assumptions!$C$10)</f>
        <v>-218847</v>
      </c>
      <c r="D23" s="74" t="n">
        <f aca="false">B23-C23</f>
        <v>3370.04999999999</v>
      </c>
      <c r="E23" s="75" t="n">
        <f aca="false">IF(C23=0,0,D23/ABS(C23))</f>
        <v>0.0153991144498211</v>
      </c>
      <c r="F23" s="65" t="n">
        <f aca="false">PL!$C$17</f>
        <v>-330887.836971927</v>
      </c>
      <c r="G23" s="65" t="n">
        <f aca="false">Budget_FY26!$C$49</f>
        <v>-338809</v>
      </c>
      <c r="H23" s="74" t="n">
        <f aca="false">F23-G23</f>
        <v>7921.16302807297</v>
      </c>
      <c r="I23" s="75" t="n">
        <f aca="false">IF(G23=0,0,H23/ABS(G23))</f>
        <v>0.0233794351037693</v>
      </c>
    </row>
    <row r="24" customFormat="false" ht="15" hidden="false" customHeight="false" outlineLevel="0" collapsed="false">
      <c r="A24" s="28" t="s">
        <v>536</v>
      </c>
      <c r="B24" s="65" t="n">
        <f aca="false">SUMIFS(PL!$E$18:$AB$18,Assumptions!$E$190:$AB$190,"A")</f>
        <v>-63925.03</v>
      </c>
      <c r="C24" s="65" t="n">
        <f aca="false">SUMIFS(Budget_FY26!$E$50:$P$50,Assumptions!$E$189:$P$189,"&lt;="&amp;Assumptions!$C$10)</f>
        <v>-67534</v>
      </c>
      <c r="D24" s="74" t="n">
        <f aca="false">B24-C24</f>
        <v>3608.97</v>
      </c>
      <c r="E24" s="75" t="n">
        <f aca="false">IF(C24=0,0,D24/ABS(C24))</f>
        <v>0.0534393046465484</v>
      </c>
      <c r="F24" s="65" t="n">
        <f aca="false">PL!$C$18</f>
        <v>-99630.4734859635</v>
      </c>
      <c r="G24" s="65" t="n">
        <f aca="false">Budget_FY26!$C$50</f>
        <v>-106741</v>
      </c>
      <c r="H24" s="74" t="n">
        <f aca="false">F24-G24</f>
        <v>7110.52651403649</v>
      </c>
      <c r="I24" s="75" t="n">
        <f aca="false">IF(G24=0,0,H24/ABS(G24))</f>
        <v>0.0666147639054955</v>
      </c>
    </row>
    <row r="25" customFormat="false" ht="15" hidden="false" customHeight="false" outlineLevel="0" collapsed="false">
      <c r="A25" s="28" t="s">
        <v>537</v>
      </c>
      <c r="B25" s="65" t="n">
        <f aca="false">SUMIFS(PL!$E$19:$AB$19,Assumptions!$E$190:$AB$190,"A")</f>
        <v>-44412.98</v>
      </c>
      <c r="C25" s="65" t="n">
        <f aca="false">SUMIFS(Budget_FY26!$E$51:$P$51,Assumptions!$E$189:$P$189,"&lt;="&amp;Assumptions!$C$10)</f>
        <v>-47367</v>
      </c>
      <c r="D25" s="74" t="n">
        <f aca="false">B25-C25</f>
        <v>2954.02</v>
      </c>
      <c r="E25" s="75" t="n">
        <f aca="false">IF(C25=0,0,D25/ABS(C25))</f>
        <v>0.0623645153799059</v>
      </c>
      <c r="F25" s="65" t="n">
        <f aca="false">PL!$C$19</f>
        <v>-68665.6094816016</v>
      </c>
      <c r="G25" s="65" t="n">
        <f aca="false">Budget_FY26!$C$51</f>
        <v>-74377</v>
      </c>
      <c r="H25" s="74" t="n">
        <f aca="false">F25-G25</f>
        <v>5711.39051839843</v>
      </c>
      <c r="I25" s="75" t="n">
        <f aca="false">IF(G25=0,0,H25/ABS(G25))</f>
        <v>0.0767897403551963</v>
      </c>
    </row>
    <row r="26" customFormat="false" ht="15" hidden="false" customHeight="false" outlineLevel="0" collapsed="false">
      <c r="A26" s="28" t="s">
        <v>538</v>
      </c>
      <c r="B26" s="65" t="n">
        <f aca="false">SUMIFS(PL!$E$20:$AB$20,Assumptions!$E$190:$AB$190,"A")</f>
        <v>-581646.72</v>
      </c>
      <c r="C26" s="65" t="n">
        <f aca="false">SUMIFS(Budget_FY26!$E$52:$P$52,Assumptions!$E$189:$P$189,"&lt;="&amp;Assumptions!$C$10)</f>
        <v>-597759</v>
      </c>
      <c r="D26" s="74" t="n">
        <f aca="false">B26-C26</f>
        <v>16112.28</v>
      </c>
      <c r="E26" s="75" t="n">
        <f aca="false">IF(C26=0,0,D26/ABS(C26))</f>
        <v>0.0269544749639906</v>
      </c>
      <c r="F26" s="65" t="n">
        <f aca="false">PL!$C$20</f>
        <v>-891404.637315452</v>
      </c>
      <c r="G26" s="65" t="n">
        <f aca="false">Budget_FY26!$C$52</f>
        <v>-927474</v>
      </c>
      <c r="H26" s="74" t="n">
        <f aca="false">F26-G26</f>
        <v>36069.362684548</v>
      </c>
      <c r="I26" s="75" t="n">
        <f aca="false">IF(G26=0,0,H26/ABS(G26))</f>
        <v>0.0388898909128968</v>
      </c>
    </row>
    <row r="27" customFormat="false" ht="15" hidden="false" customHeight="false" outlineLevel="0" collapsed="false">
      <c r="A27" s="76" t="s">
        <v>383</v>
      </c>
      <c r="B27" s="62" t="n">
        <f aca="false">SUMIFS(PL!$E$21:$AB$21,Assumptions!$E$190:$AB$190,"A")</f>
        <v>-905461.68</v>
      </c>
      <c r="C27" s="62" t="n">
        <f aca="false">SUMIFS(Budget_FY26!$E$53:$P$53,Assumptions!$E$189:$P$189,"&lt;="&amp;Assumptions!$C$10)</f>
        <v>-931507</v>
      </c>
      <c r="D27" s="61" t="n">
        <f aca="false">B27-C27</f>
        <v>26045.32</v>
      </c>
      <c r="E27" s="77" t="n">
        <f aca="false">IF(C27=0,0,D27/ABS(C27))</f>
        <v>0.0279604125358156</v>
      </c>
      <c r="F27" s="62" t="n">
        <f aca="false">PL!$C$21</f>
        <v>-1390588.55725494</v>
      </c>
      <c r="G27" s="62" t="n">
        <f aca="false">Budget_FY26!$C$53</f>
        <v>-1447401</v>
      </c>
      <c r="H27" s="61" t="n">
        <f aca="false">F27-G27</f>
        <v>56812.4427450558</v>
      </c>
      <c r="I27" s="77" t="n">
        <f aca="false">IF(G27=0,0,H27/ABS(G27))</f>
        <v>0.0392513496571135</v>
      </c>
      <c r="J27" s="79"/>
    </row>
    <row r="28" customFormat="false" ht="15" hidden="false" customHeight="false" outlineLevel="0" collapsed="false">
      <c r="A28" s="76" t="s">
        <v>384</v>
      </c>
      <c r="B28" s="62" t="n">
        <f aca="false">SUMIFS(PL!$E$22:$AB$22,Assumptions!$E$190:$AB$190,"A")</f>
        <v>3223300</v>
      </c>
      <c r="C28" s="62" t="n">
        <f aca="false">SUMIFS(Budget_FY26!$E$54:$P$54,Assumptions!$E$189:$P$189,"&lt;="&amp;Assumptions!$C$10)</f>
        <v>3409121.08</v>
      </c>
      <c r="D28" s="61" t="n">
        <f aca="false">B28-C28</f>
        <v>-185821.08</v>
      </c>
      <c r="E28" s="77" t="n">
        <f aca="false">IF(C28=0,0,D28/ABS(C28))</f>
        <v>-0.0545070344054779</v>
      </c>
      <c r="F28" s="62" t="n">
        <f aca="false">PL!$C$22</f>
        <v>5035384.48436778</v>
      </c>
      <c r="G28" s="62" t="n">
        <f aca="false">Budget_FY26!$C$54</f>
        <v>5419636.12</v>
      </c>
      <c r="H28" s="61" t="n">
        <f aca="false">F28-G28</f>
        <v>-384251.635632224</v>
      </c>
      <c r="I28" s="77" t="n">
        <f aca="false">IF(G28=0,0,H28/ABS(G28))</f>
        <v>-0.070899895698574</v>
      </c>
      <c r="J28" s="79"/>
    </row>
    <row r="29" customFormat="false" ht="15" hidden="false" customHeight="false" outlineLevel="0" collapsed="false">
      <c r="A29" s="76" t="s">
        <v>349</v>
      </c>
      <c r="B29" s="77" t="n">
        <f aca="false">IF(B22=0,0,B28/B22)</f>
        <v>0.78069412812415</v>
      </c>
      <c r="C29" s="77" t="n">
        <f aca="false">IF(C22=0,0,C28/C22)</f>
        <v>0.785398107639759</v>
      </c>
      <c r="D29" s="77" t="n">
        <f aca="false">B29-C29</f>
        <v>-0.00470397951560919</v>
      </c>
      <c r="E29" s="79"/>
      <c r="F29" s="77" t="n">
        <f aca="false">IF(F22=0,0,F28/F22)</f>
        <v>0.783598756445485</v>
      </c>
      <c r="G29" s="77" t="n">
        <f aca="false">IF(G22=0,0,G28/G22)</f>
        <v>0.789224817820702</v>
      </c>
      <c r="H29" s="77" t="n">
        <f aca="false">F29-G29</f>
        <v>-0.00562606137521704</v>
      </c>
      <c r="I29" s="79"/>
      <c r="J29" s="79"/>
    </row>
    <row r="30" customFormat="false" ht="15" hidden="false" customHeight="false" outlineLevel="0" collapsed="false">
      <c r="A30" s="28" t="s">
        <v>539</v>
      </c>
      <c r="B30" s="65" t="n">
        <f aca="false">SUMIFS(PL!$E$25:$AB$25,Assumptions!$E$190:$AB$190,"A")</f>
        <v>-1695031.79</v>
      </c>
      <c r="C30" s="65" t="n">
        <f aca="false">SUMIFS(Budget_FY26!$E$55:$P$55,Assumptions!$E$189:$P$189,"&lt;="&amp;Assumptions!$C$10)</f>
        <v>-1805308</v>
      </c>
      <c r="D30" s="74" t="n">
        <f aca="false">B30-C30</f>
        <v>110276.21</v>
      </c>
      <c r="E30" s="75" t="n">
        <f aca="false">IF(C30=0,0,D30/ABS(C30))</f>
        <v>0.0610844299144523</v>
      </c>
      <c r="F30" s="65" t="n">
        <f aca="false">PL!$C$25</f>
        <v>-2561634.00068412</v>
      </c>
      <c r="G30" s="65" t="n">
        <f aca="false">Budget_FY26!$C$55</f>
        <v>-2783068</v>
      </c>
      <c r="H30" s="74" t="n">
        <f aca="false">F30-G30</f>
        <v>221433.999315883</v>
      </c>
      <c r="I30" s="75" t="n">
        <f aca="false">IF(G30=0,0,H30/ABS(G30))</f>
        <v>0.0795647103541425</v>
      </c>
      <c r="J30" s="47" t="str">
        <f aca="false">"Hiring behind plan; a software engineer left in July."</f>
        <v>Hiring behind plan; a software engineer left in July.</v>
      </c>
    </row>
    <row r="31" customFormat="false" ht="15" hidden="false" customHeight="false" outlineLevel="0" collapsed="false">
      <c r="A31" s="28" t="s">
        <v>540</v>
      </c>
      <c r="B31" s="65" t="n">
        <f aca="false">SUMIFS(PL!$E$26:$AB$26,Assumptions!$E$190:$AB$190,"A")</f>
        <v>438402.56</v>
      </c>
      <c r="C31" s="65" t="n">
        <f aca="false">SUMIFS(Budget_FY26!$E$56:$P$56,Assumptions!$E$189:$P$189,"&lt;="&amp;Assumptions!$C$10)</f>
        <v>463098</v>
      </c>
      <c r="D31" s="74" t="n">
        <f aca="false">B31-C31</f>
        <v>-24695.44</v>
      </c>
      <c r="E31" s="75" t="n">
        <f aca="false">IF(C31=0,0,D31/ABS(C31))</f>
        <v>-0.05332659609845</v>
      </c>
      <c r="F31" s="65" t="n">
        <f aca="false">PL!$C$26</f>
        <v>664452.381782249</v>
      </c>
      <c r="G31" s="65" t="n">
        <f aca="false">Budget_FY26!$C$56</f>
        <v>715510</v>
      </c>
      <c r="H31" s="74" t="n">
        <f aca="false">F31-G31</f>
        <v>-51057.6182177507</v>
      </c>
      <c r="I31" s="75" t="n">
        <f aca="false">IF(G31=0,0,H31/ABS(G31))</f>
        <v>-0.0713583572804722</v>
      </c>
    </row>
    <row r="32" customFormat="false" ht="15" hidden="false" customHeight="false" outlineLevel="0" collapsed="false">
      <c r="A32" s="28" t="s">
        <v>541</v>
      </c>
      <c r="B32" s="65" t="n">
        <f aca="false">SUMIFS(PL!$E$27:$AB$27,Assumptions!$E$190:$AB$190,"A")</f>
        <v>-831885.6</v>
      </c>
      <c r="C32" s="65" t="n">
        <f aca="false">SUMIFS(Budget_FY26!$E$57:$P$57,Assumptions!$E$189:$P$189,"&lt;="&amp;Assumptions!$C$10)</f>
        <v>-864923</v>
      </c>
      <c r="D32" s="74" t="n">
        <f aca="false">B32-C32</f>
        <v>33037.4</v>
      </c>
      <c r="E32" s="75" t="n">
        <f aca="false">IF(C32=0,0,D32/ABS(C32))</f>
        <v>0.038196926200367</v>
      </c>
      <c r="F32" s="65" t="n">
        <f aca="false">PL!$C$27</f>
        <v>-1240782.39996435</v>
      </c>
      <c r="G32" s="65" t="n">
        <f aca="false">Budget_FY26!$C$57</f>
        <v>-1336147</v>
      </c>
      <c r="H32" s="74" t="n">
        <f aca="false">F32-G32</f>
        <v>95364.6000356509</v>
      </c>
      <c r="I32" s="75" t="n">
        <f aca="false">IF(G32=0,0,H32/ABS(G32))</f>
        <v>0.071372835500623</v>
      </c>
    </row>
    <row r="33" customFormat="false" ht="15" hidden="false" customHeight="false" outlineLevel="0" collapsed="false">
      <c r="A33" s="28" t="s">
        <v>542</v>
      </c>
      <c r="B33" s="65" t="n">
        <f aca="false">SUMIFS(PL!$E$28:$AB$28,Assumptions!$E$190:$AB$190,"A")</f>
        <v>-545819.06</v>
      </c>
      <c r="C33" s="65" t="n">
        <f aca="false">SUMIFS(Budget_FY26!$E$58:$P$58,Assumptions!$E$189:$P$189,"&lt;="&amp;Assumptions!$C$10)</f>
        <v>-512000</v>
      </c>
      <c r="D33" s="74" t="n">
        <f aca="false">B33-C33</f>
        <v>-33819.0600000001</v>
      </c>
      <c r="E33" s="75" t="n">
        <f aca="false">IF(C33=0,0,D33/ABS(C33))</f>
        <v>-0.0660528515625001</v>
      </c>
      <c r="F33" s="65" t="n">
        <f aca="false">PL!$C$28</f>
        <v>-809819.06</v>
      </c>
      <c r="G33" s="65" t="n">
        <f aca="false">Budget_FY26!$C$58</f>
        <v>-768000</v>
      </c>
      <c r="H33" s="74" t="n">
        <f aca="false">F33-G33</f>
        <v>-41819.0600000001</v>
      </c>
      <c r="I33" s="75" t="n">
        <f aca="false">IF(G33=0,0,H33/ABS(G33))</f>
        <v>-0.0544519010416667</v>
      </c>
      <c r="J33" s="47" t="str">
        <f aca="false">"First-quarter campaign above the budget run-rate."</f>
        <v>First-quarter campaign above the budget run-rate.</v>
      </c>
    </row>
    <row r="34" customFormat="false" ht="15" hidden="false" customHeight="false" outlineLevel="0" collapsed="false">
      <c r="A34" s="28" t="s">
        <v>392</v>
      </c>
      <c r="B34" s="65" t="n">
        <f aca="false">SUMIFS(PL!$E$29:$AB$29,Assumptions!$E$190:$AB$190,"A")</f>
        <v>-208533.44</v>
      </c>
      <c r="C34" s="65" t="n">
        <f aca="false">SUMIFS(Budget_FY26!$E$59:$P$59,Assumptions!$E$189:$P$189,"&lt;="&amp;Assumptions!$C$10)</f>
        <v>-176000</v>
      </c>
      <c r="D34" s="74" t="n">
        <f aca="false">B34-C34</f>
        <v>-32533.44</v>
      </c>
      <c r="E34" s="75" t="n">
        <f aca="false">IF(C34=0,0,D34/ABS(C34))</f>
        <v>-0.184849090909091</v>
      </c>
      <c r="F34" s="65" t="n">
        <f aca="false">PL!$C$29</f>
        <v>-304533.44</v>
      </c>
      <c r="G34" s="65" t="n">
        <f aca="false">Budget_FY26!$C$59</f>
        <v>-264000</v>
      </c>
      <c r="H34" s="74" t="n">
        <f aca="false">F34-G34</f>
        <v>-40533.44</v>
      </c>
      <c r="I34" s="75" t="n">
        <f aca="false">IF(G34=0,0,H34/ABS(G34))</f>
        <v>-0.153535757575758</v>
      </c>
      <c r="J34" s="47" t="str">
        <f aca="false">"May trade fair stand."</f>
        <v>May trade fair stand.</v>
      </c>
    </row>
    <row r="35" customFormat="false" ht="15" hidden="false" customHeight="false" outlineLevel="0" collapsed="false">
      <c r="A35" s="28" t="s">
        <v>393</v>
      </c>
      <c r="B35" s="65" t="n">
        <f aca="false">SUMIFS(PL!$E$30:$AB$30,Assumptions!$E$190:$AB$190,"A")</f>
        <v>-81522.82799375</v>
      </c>
      <c r="C35" s="65" t="n">
        <f aca="false">SUMIFS(Budget_FY26!$E$60:$P$60,Assumptions!$E$189:$P$189,"&lt;="&amp;Assumptions!$C$10)</f>
        <v>-81788</v>
      </c>
      <c r="D35" s="74" t="n">
        <f aca="false">B35-C35</f>
        <v>265.17200625001</v>
      </c>
      <c r="E35" s="75" t="n">
        <f aca="false">IF(C35=0,0,D35/ABS(C35))</f>
        <v>0.00324218719433181</v>
      </c>
      <c r="F35" s="65" t="n">
        <f aca="false">PL!$C$30</f>
        <v>-123631.683366254</v>
      </c>
      <c r="G35" s="65" t="n">
        <f aca="false">Budget_FY26!$C$60</f>
        <v>-125029</v>
      </c>
      <c r="H35" s="74" t="n">
        <f aca="false">F35-G35</f>
        <v>1397.31663374607</v>
      </c>
      <c r="I35" s="75" t="n">
        <f aca="false">IF(G35=0,0,H35/ABS(G35))</f>
        <v>0.0111759402518301</v>
      </c>
    </row>
    <row r="36" customFormat="false" ht="15" hidden="false" customHeight="false" outlineLevel="0" collapsed="false">
      <c r="A36" s="28" t="s">
        <v>394</v>
      </c>
      <c r="B36" s="65" t="n">
        <f aca="false">SUMIFS(PL!$E$31:$AB$31,Assumptions!$E$190:$AB$190,"A")</f>
        <v>-329828.51</v>
      </c>
      <c r="C36" s="65" t="n">
        <f aca="false">SUMIFS(Budget_FY26!$E$61:$P$61,Assumptions!$E$189:$P$189,"&lt;="&amp;Assumptions!$C$10)</f>
        <v>-329856</v>
      </c>
      <c r="D36" s="74" t="n">
        <f aca="false">B36-C36</f>
        <v>27.4899999999907</v>
      </c>
      <c r="E36" s="75" t="n">
        <f aca="false">IF(C36=0,0,D36/ABS(C36))</f>
        <v>8.33393965851483E-005</v>
      </c>
      <c r="F36" s="65" t="n">
        <f aca="false">PL!$C$31</f>
        <v>-492847.854531567</v>
      </c>
      <c r="G36" s="65" t="n">
        <f aca="false">Budget_FY26!$C$61</f>
        <v>-494784</v>
      </c>
      <c r="H36" s="74" t="n">
        <f aca="false">F36-G36</f>
        <v>1936.1454684331</v>
      </c>
      <c r="I36" s="75" t="n">
        <f aca="false">IF(G36=0,0,H36/ABS(G36))</f>
        <v>0.0039131125267452</v>
      </c>
    </row>
    <row r="37" customFormat="false" ht="15" hidden="false" customHeight="false" outlineLevel="0" collapsed="false">
      <c r="A37" s="28" t="s">
        <v>395</v>
      </c>
      <c r="B37" s="65" t="n">
        <f aca="false">SUMIFS(PL!$E$32:$AB$32,Assumptions!$E$190:$AB$190,"A")</f>
        <v>-156078.45</v>
      </c>
      <c r="C37" s="65" t="n">
        <f aca="false">SUMIFS(Budget_FY26!$E$62:$P$62,Assumptions!$E$189:$P$189,"&lt;="&amp;Assumptions!$C$10)</f>
        <v>-162675</v>
      </c>
      <c r="D37" s="74" t="n">
        <f aca="false">B37-C37</f>
        <v>6596.54999999999</v>
      </c>
      <c r="E37" s="75" t="n">
        <f aca="false">IF(C37=0,0,D37/ABS(C37))</f>
        <v>0.0405504840940525</v>
      </c>
      <c r="F37" s="65" t="n">
        <f aca="false">PL!$C$32</f>
        <v>-235511.264986423</v>
      </c>
      <c r="G37" s="65" t="n">
        <f aca="false">Budget_FY26!$C$62</f>
        <v>-250650</v>
      </c>
      <c r="H37" s="74" t="n">
        <f aca="false">F37-G37</f>
        <v>15138.735013577</v>
      </c>
      <c r="I37" s="75" t="n">
        <f aca="false">IF(G37=0,0,H37/ABS(G37))</f>
        <v>0.0603979055000081</v>
      </c>
    </row>
    <row r="38" customFormat="false" ht="15" hidden="false" customHeight="false" outlineLevel="0" collapsed="false">
      <c r="A38" s="28" t="s">
        <v>543</v>
      </c>
      <c r="B38" s="65" t="n">
        <f aca="false">SUMIFS(PL!$E$33:$AB$33,Assumptions!$E$190:$AB$190,"A")</f>
        <v>-124000</v>
      </c>
      <c r="C38" s="65" t="n">
        <f aca="false">SUMIFS(Budget_FY26!$E$63:$P$63,Assumptions!$E$189:$P$189,"&lt;="&amp;Assumptions!$C$10)</f>
        <v>-124000</v>
      </c>
      <c r="D38" s="74" t="n">
        <f aca="false">B38-C38</f>
        <v>0</v>
      </c>
      <c r="E38" s="75" t="n">
        <f aca="false">IF(C38=0,0,D38/ABS(C38))</f>
        <v>0</v>
      </c>
      <c r="F38" s="65" t="n">
        <f aca="false">PL!$C$33</f>
        <v>-186000</v>
      </c>
      <c r="G38" s="65" t="n">
        <f aca="false">Budget_FY26!$C$63</f>
        <v>-186000</v>
      </c>
      <c r="H38" s="74" t="n">
        <f aca="false">F38-G38</f>
        <v>0</v>
      </c>
      <c r="I38" s="75" t="n">
        <f aca="false">IF(G38=0,0,H38/ABS(G38))</f>
        <v>0</v>
      </c>
    </row>
    <row r="39" customFormat="false" ht="15" hidden="false" customHeight="false" outlineLevel="0" collapsed="false">
      <c r="A39" s="28" t="s">
        <v>397</v>
      </c>
      <c r="B39" s="65" t="n">
        <f aca="false">SUMIFS(PL!$E$34:$AB$34,Assumptions!$E$190:$AB$190,"A")</f>
        <v>-109697.6</v>
      </c>
      <c r="C39" s="65" t="n">
        <f aca="false">SUMIFS(Budget_FY26!$E$64:$P$64,Assumptions!$E$189:$P$189,"&lt;="&amp;Assumptions!$C$10)</f>
        <v>-103000</v>
      </c>
      <c r="D39" s="74" t="n">
        <f aca="false">B39-C39</f>
        <v>-6697.59999999999</v>
      </c>
      <c r="E39" s="75" t="n">
        <f aca="false">IF(C39=0,0,D39/ABS(C39))</f>
        <v>-0.0650252427184465</v>
      </c>
      <c r="F39" s="65" t="n">
        <f aca="false">PL!$C$34</f>
        <v>-155697.6</v>
      </c>
      <c r="G39" s="65" t="n">
        <f aca="false">Budget_FY26!$C$64</f>
        <v>-147000</v>
      </c>
      <c r="H39" s="74" t="n">
        <f aca="false">F39-G39</f>
        <v>-8697.60000000001</v>
      </c>
      <c r="I39" s="75" t="n">
        <f aca="false">IF(G39=0,0,H39/ABS(G39))</f>
        <v>-0.0591673469387756</v>
      </c>
    </row>
    <row r="40" customFormat="false" ht="15" hidden="false" customHeight="false" outlineLevel="0" collapsed="false">
      <c r="A40" s="28" t="s">
        <v>398</v>
      </c>
      <c r="B40" s="65" t="n">
        <f aca="false">SUMIFS(PL!$E$35:$AB$35,Assumptions!$E$190:$AB$190,"A")</f>
        <v>-25600</v>
      </c>
      <c r="C40" s="65" t="n">
        <f aca="false">SUMIFS(Budget_FY26!$E$65:$P$65,Assumptions!$E$189:$P$189,"&lt;="&amp;Assumptions!$C$10)</f>
        <v>-25600</v>
      </c>
      <c r="D40" s="74" t="n">
        <f aca="false">B40-C40</f>
        <v>0</v>
      </c>
      <c r="E40" s="75" t="n">
        <f aca="false">IF(C40=0,0,D40/ABS(C40))</f>
        <v>0</v>
      </c>
      <c r="F40" s="65" t="n">
        <f aca="false">PL!$C$35</f>
        <v>-38400</v>
      </c>
      <c r="G40" s="65" t="n">
        <f aca="false">Budget_FY26!$C$65</f>
        <v>-38400</v>
      </c>
      <c r="H40" s="74" t="n">
        <f aca="false">F40-G40</f>
        <v>0</v>
      </c>
      <c r="I40" s="75" t="n">
        <f aca="false">IF(G40=0,0,H40/ABS(G40))</f>
        <v>0</v>
      </c>
    </row>
    <row r="41" customFormat="false" ht="15" hidden="false" customHeight="false" outlineLevel="0" collapsed="false">
      <c r="A41" s="28" t="s">
        <v>399</v>
      </c>
      <c r="B41" s="65" t="n">
        <f aca="false">SUMIFS(PL!$E$36:$AB$36,Assumptions!$E$190:$AB$190,"A")</f>
        <v>-57098.85</v>
      </c>
      <c r="C41" s="65" t="n">
        <f aca="false">SUMIFS(Budget_FY26!$E$66:$P$66,Assumptions!$E$189:$P$189,"&lt;="&amp;Assumptions!$C$10)</f>
        <v>-72300</v>
      </c>
      <c r="D41" s="74" t="n">
        <f aca="false">B41-C41</f>
        <v>15201.15</v>
      </c>
      <c r="E41" s="75" t="n">
        <f aca="false">IF(C41=0,0,D41/ABS(C41))</f>
        <v>0.210251037344398</v>
      </c>
      <c r="F41" s="65" t="n">
        <f aca="false">PL!$C$36</f>
        <v>-83242.58125</v>
      </c>
      <c r="G41" s="65" t="n">
        <f aca="false">Budget_FY26!$C$66</f>
        <v>-88200</v>
      </c>
      <c r="H41" s="74" t="n">
        <f aca="false">F41-G41</f>
        <v>4957.41875</v>
      </c>
      <c r="I41" s="75" t="n">
        <f aca="false">IF(G41=0,0,H41/ABS(G41))</f>
        <v>0.0562065617913832</v>
      </c>
      <c r="J41" s="47" t="str">
        <f aca="false">"Fewer hires than budgeted."</f>
        <v>Fewer hires than budgeted.</v>
      </c>
    </row>
    <row r="42" customFormat="false" ht="15" hidden="false" customHeight="false" outlineLevel="0" collapsed="false">
      <c r="A42" s="28" t="s">
        <v>400</v>
      </c>
      <c r="B42" s="65" t="n">
        <f aca="false">SUMIFS(PL!$E$37:$AB$37,Assumptions!$E$190:$AB$190,"A")</f>
        <v>-86464.13</v>
      </c>
      <c r="C42" s="65" t="n">
        <f aca="false">SUMIFS(Budget_FY26!$E$67:$P$67,Assumptions!$E$189:$P$189,"&lt;="&amp;Assumptions!$C$10)</f>
        <v>-80000</v>
      </c>
      <c r="D42" s="74" t="n">
        <f aca="false">B42-C42</f>
        <v>-6464.13000000001</v>
      </c>
      <c r="E42" s="75" t="n">
        <f aca="false">IF(C42=0,0,D42/ABS(C42))</f>
        <v>-0.0808016250000001</v>
      </c>
      <c r="F42" s="65" t="n">
        <f aca="false">PL!$C$37</f>
        <v>-128464.13</v>
      </c>
      <c r="G42" s="65" t="n">
        <f aca="false">Budget_FY26!$C$67</f>
        <v>-120000</v>
      </c>
      <c r="H42" s="74" t="n">
        <f aca="false">F42-G42</f>
        <v>-8464.13000000001</v>
      </c>
      <c r="I42" s="75" t="n">
        <f aca="false">IF(G42=0,0,H42/ABS(G42))</f>
        <v>-0.0705344166666667</v>
      </c>
    </row>
    <row r="43" customFormat="false" ht="15" hidden="false" customHeight="false" outlineLevel="0" collapsed="false">
      <c r="A43" s="28" t="s">
        <v>401</v>
      </c>
      <c r="B43" s="65" t="n">
        <f aca="false">SUMIFS(PL!$E$38:$AB$38,Assumptions!$E$190:$AB$190,"A")</f>
        <v>-10291.531018504</v>
      </c>
      <c r="C43" s="65" t="n">
        <f aca="false">SUMIFS(Budget_FY26!$E$68:$P$68,Assumptions!$E$189:$P$189,"&lt;="&amp;Assumptions!$C$10)</f>
        <v>-9615</v>
      </c>
      <c r="D43" s="74" t="n">
        <f aca="false">B43-C43</f>
        <v>-676.531018504</v>
      </c>
      <c r="E43" s="75" t="n">
        <f aca="false">IF(C43=0,0,D43/ABS(C43))</f>
        <v>-0.0703620404060322</v>
      </c>
      <c r="F43" s="65" t="n">
        <f aca="false">PL!$C$38</f>
        <v>-9641.2339821504</v>
      </c>
      <c r="G43" s="65" t="n">
        <f aca="false">Budget_FY26!$C$68</f>
        <v>-14381</v>
      </c>
      <c r="H43" s="74" t="n">
        <f aca="false">F43-G43</f>
        <v>4739.7660178496</v>
      </c>
      <c r="I43" s="75" t="n">
        <f aca="false">IF(G43=0,0,H43/ABS(G43))</f>
        <v>0.32958528738263</v>
      </c>
    </row>
    <row r="44" customFormat="false" ht="15" hidden="false" customHeight="false" outlineLevel="0" collapsed="false">
      <c r="A44" s="28" t="s">
        <v>402</v>
      </c>
      <c r="B44" s="65" t="n">
        <f aca="false">SUMIFS(PL!$E$39:$AB$39,Assumptions!$E$190:$AB$190,"A")</f>
        <v>0</v>
      </c>
      <c r="C44" s="65" t="n">
        <f aca="false">SUMIFS(Budget_FY26!$E$69:$P$69,Assumptions!$E$189:$P$189,"&lt;="&amp;Assumptions!$C$10)</f>
        <v>0</v>
      </c>
      <c r="D44" s="74" t="n">
        <f aca="false">B44-C44</f>
        <v>0</v>
      </c>
      <c r="E44" s="75" t="n">
        <f aca="false">IF(C44=0,0,D44/ABS(C44))</f>
        <v>0</v>
      </c>
      <c r="F44" s="65" t="n">
        <f aca="false">PL!$C$39</f>
        <v>0</v>
      </c>
      <c r="G44" s="65" t="n">
        <f aca="false">Budget_FY26!$C$69</f>
        <v>0</v>
      </c>
      <c r="H44" s="74" t="n">
        <f aca="false">F44-G44</f>
        <v>0</v>
      </c>
      <c r="I44" s="75" t="n">
        <f aca="false">IF(G44=0,0,H44/ABS(G44))</f>
        <v>0</v>
      </c>
    </row>
    <row r="45" customFormat="false" ht="15" hidden="false" customHeight="false" outlineLevel="0" collapsed="false">
      <c r="A45" s="76" t="s">
        <v>403</v>
      </c>
      <c r="B45" s="62" t="n">
        <f aca="false">SUMIFS(PL!$E$40:$AB$40,Assumptions!$E$190:$AB$190,"A")</f>
        <v>-3823449.22901225</v>
      </c>
      <c r="C45" s="62" t="n">
        <f aca="false">SUMIFS(Budget_FY26!$E$70:$P$70,Assumptions!$E$189:$P$189,"&lt;="&amp;Assumptions!$C$10)</f>
        <v>-3883967</v>
      </c>
      <c r="D45" s="61" t="n">
        <f aca="false">B45-C45</f>
        <v>60517.7709877463</v>
      </c>
      <c r="E45" s="77" t="n">
        <f aca="false">IF(C45=0,0,D45/ABS(C45))</f>
        <v>0.0155814328463003</v>
      </c>
      <c r="F45" s="62" t="n">
        <f aca="false">PL!$C$40</f>
        <v>-5705752.86698261</v>
      </c>
      <c r="G45" s="62" t="n">
        <f aca="false">Budget_FY26!$C$70</f>
        <v>-5900149</v>
      </c>
      <c r="H45" s="61" t="n">
        <f aca="false">F45-G45</f>
        <v>194396.133017388</v>
      </c>
      <c r="I45" s="77" t="n">
        <f aca="false">IF(G45=0,0,H45/ABS(G45))</f>
        <v>0.0329476650534399</v>
      </c>
      <c r="J45" s="79"/>
    </row>
    <row r="46" customFormat="false" ht="15" hidden="false" customHeight="false" outlineLevel="0" collapsed="false">
      <c r="A46" s="76" t="s">
        <v>350</v>
      </c>
      <c r="B46" s="62" t="n">
        <f aca="false">SUMIFS(PL!$E$41:$AB$41,Assumptions!$E$190:$AB$190,"A")</f>
        <v>-600149.229012254</v>
      </c>
      <c r="C46" s="62" t="n">
        <f aca="false">SUMIFS(Budget_FY26!$E$71:$P$71,Assumptions!$E$189:$P$189,"&lt;="&amp;Assumptions!$C$10)</f>
        <v>-474845.92</v>
      </c>
      <c r="D46" s="61" t="n">
        <f aca="false">B46-C46</f>
        <v>-125303.309012254</v>
      </c>
      <c r="E46" s="77" t="n">
        <f aca="false">IF(C46=0,0,D46/ABS(C46))</f>
        <v>-0.26388203780345</v>
      </c>
      <c r="F46" s="62" t="n">
        <f aca="false">PL!$C$41</f>
        <v>-670368.382614836</v>
      </c>
      <c r="G46" s="62" t="n">
        <f aca="false">Budget_FY26!$C$71</f>
        <v>-480512.88</v>
      </c>
      <c r="H46" s="61" t="n">
        <f aca="false">F46-G46</f>
        <v>-189855.502614837</v>
      </c>
      <c r="I46" s="77" t="n">
        <f aca="false">IF(G46=0,0,H46/ABS(G46))</f>
        <v>-0.39511012194894</v>
      </c>
      <c r="J46" s="78" t="str">
        <f aca="false">"EUR "&amp;TEXT(ABS(D46)/1000,"#,##0")&amp;"k "&amp;IF(D46&lt;0,"behind","ahead of")&amp;" budget YTD; EUR "&amp;TEXT(ABS(H46)/1000,"#,##0")&amp;"k on the full-year outlook."</f>
        <v>EUR 125k behind budget YTD; EUR 190k on the full-year outlook.</v>
      </c>
    </row>
    <row r="47" customFormat="false" ht="15" hidden="false" customHeight="false" outlineLevel="0" collapsed="false">
      <c r="A47" s="76" t="s">
        <v>351</v>
      </c>
      <c r="B47" s="77" t="n">
        <f aca="false">IF(B22=0,0,B46/B22)</f>
        <v>-0.145358166812925</v>
      </c>
      <c r="C47" s="77" t="n">
        <f aca="false">IF(C22=0,0,C46/C22)</f>
        <v>-0.109395670683677</v>
      </c>
      <c r="D47" s="77" t="n">
        <f aca="false">B47-C47</f>
        <v>-0.0359624961292486</v>
      </c>
      <c r="E47" s="79"/>
      <c r="F47" s="77" t="n">
        <f aca="false">IF(F22=0,0,F46/F22)</f>
        <v>-0.104321692337127</v>
      </c>
      <c r="G47" s="77" t="n">
        <f aca="false">IF(G22=0,0,G46/G22)</f>
        <v>-0.0699738288293977</v>
      </c>
      <c r="H47" s="77" t="n">
        <f aca="false">F47-G47</f>
        <v>-0.0343478635077292</v>
      </c>
      <c r="I47" s="79"/>
      <c r="J47" s="79"/>
    </row>
    <row r="48" customFormat="false" ht="15" hidden="false" customHeight="false" outlineLevel="0" collapsed="false">
      <c r="A48" s="28" t="s">
        <v>405</v>
      </c>
      <c r="B48" s="65" t="n">
        <f aca="false">SUMIFS(PL!$E$44:$AB$44,Assumptions!$E$190:$AB$190,"A")</f>
        <v>-316667.471388889</v>
      </c>
      <c r="C48" s="65" t="n">
        <f aca="false">SUMIFS(Budget_FY26!$E$72:$P$72,Assumptions!$E$189:$P$189,"&lt;="&amp;Assumptions!$C$10)</f>
        <v>-317984</v>
      </c>
      <c r="D48" s="74" t="n">
        <f aca="false">B48-C48</f>
        <v>1316.52861111111</v>
      </c>
      <c r="E48" s="75" t="n">
        <f aca="false">IF(C48=0,0,D48/ABS(C48))</f>
        <v>0.00414023539269619</v>
      </c>
      <c r="F48" s="65" t="n">
        <f aca="false">PL!$C$44</f>
        <v>-493513.959845941</v>
      </c>
      <c r="G48" s="65" t="n">
        <f aca="false">Budget_FY26!$C$72</f>
        <v>-498649</v>
      </c>
      <c r="H48" s="74" t="n">
        <f aca="false">F48-G48</f>
        <v>5135.04015405889</v>
      </c>
      <c r="I48" s="75" t="n">
        <f aca="false">IF(G48=0,0,H48/ABS(G48))</f>
        <v>0.0102979052480982</v>
      </c>
    </row>
    <row r="49" customFormat="false" ht="15" hidden="false" customHeight="false" outlineLevel="0" collapsed="false">
      <c r="A49" s="28" t="s">
        <v>406</v>
      </c>
      <c r="B49" s="65" t="n">
        <f aca="false">SUMIFS(PL!$E$45:$AB$45,Assumptions!$E$190:$AB$190,"A")</f>
        <v>-46989.04</v>
      </c>
      <c r="C49" s="65" t="n">
        <f aca="false">SUMIFS(Budget_FY26!$E$73:$P$73,Assumptions!$E$189:$P$189,"&lt;="&amp;Assumptions!$C$10)</f>
        <v>-48168</v>
      </c>
      <c r="D49" s="74" t="n">
        <f aca="false">B49-C49</f>
        <v>1178.96</v>
      </c>
      <c r="E49" s="75" t="n">
        <f aca="false">IF(C49=0,0,D49/ABS(C49))</f>
        <v>0.0244760006643415</v>
      </c>
      <c r="F49" s="65" t="n">
        <f aca="false">PL!$C$45</f>
        <v>-73776.5335185185</v>
      </c>
      <c r="G49" s="65" t="n">
        <f aca="false">Budget_FY26!$C$73</f>
        <v>-75913</v>
      </c>
      <c r="H49" s="74" t="n">
        <f aca="false">F49-G49</f>
        <v>2136.46648148148</v>
      </c>
      <c r="I49" s="75" t="n">
        <f aca="false">IF(G49=0,0,H49/ABS(G49))</f>
        <v>0.0281436181086438</v>
      </c>
    </row>
    <row r="50" customFormat="false" ht="15" hidden="false" customHeight="false" outlineLevel="0" collapsed="false">
      <c r="A50" s="28" t="s">
        <v>544</v>
      </c>
      <c r="B50" s="65" t="n">
        <f aca="false">SUMIFS(PL!$E$47:$AB$47,Assumptions!$E$190:$AB$190,"A")</f>
        <v>-140000</v>
      </c>
      <c r="C50" s="65" t="n">
        <f aca="false">SUMIFS(Budget_FY26!$E$74:$P$74,Assumptions!$E$189:$P$189,"&lt;="&amp;Assumptions!$C$10)</f>
        <v>-140000</v>
      </c>
      <c r="D50" s="74" t="n">
        <f aca="false">B50-C50</f>
        <v>0</v>
      </c>
      <c r="E50" s="75" t="n">
        <f aca="false">IF(C50=0,0,D50/ABS(C50))</f>
        <v>0</v>
      </c>
      <c r="F50" s="65" t="n">
        <f aca="false">PL!$C$47</f>
        <v>-205138.8885</v>
      </c>
      <c r="G50" s="65" t="n">
        <f aca="false">Budget_FY26!$C$74</f>
        <v>-205140</v>
      </c>
      <c r="H50" s="74" t="n">
        <f aca="false">F50-G50</f>
        <v>1.11149999999907</v>
      </c>
      <c r="I50" s="75" t="n">
        <f aca="false">IF(G50=0,0,H50/ABS(G50))</f>
        <v>5.4182509505658E-006</v>
      </c>
    </row>
    <row r="51" customFormat="false" ht="15" hidden="false" customHeight="false" outlineLevel="0" collapsed="false">
      <c r="A51" s="28" t="s">
        <v>410</v>
      </c>
      <c r="B51" s="65" t="n">
        <f aca="false">SUMIFS(PL!$E$49:$AB$49,Assumptions!$E$190:$AB$190,"A")</f>
        <v>0</v>
      </c>
      <c r="C51" s="65" t="n">
        <f aca="false">SUMIFS(Budget_FY26!$E$76:$P$76,Assumptions!$E$189:$P$189,"&lt;="&amp;Assumptions!$C$10)</f>
        <v>0</v>
      </c>
      <c r="D51" s="74" t="n">
        <f aca="false">B51-C51</f>
        <v>0</v>
      </c>
      <c r="E51" s="75" t="n">
        <f aca="false">IF(C51=0,0,D51/ABS(C51))</f>
        <v>0</v>
      </c>
      <c r="F51" s="65" t="n">
        <f aca="false">PL!$C$49</f>
        <v>0</v>
      </c>
      <c r="G51" s="65" t="n">
        <f aca="false">Budget_FY26!$C$76</f>
        <v>0</v>
      </c>
      <c r="H51" s="74" t="n">
        <f aca="false">F51-G51</f>
        <v>0</v>
      </c>
      <c r="I51" s="75" t="n">
        <f aca="false">IF(G51=0,0,H51/ABS(G51))</f>
        <v>0</v>
      </c>
    </row>
    <row r="52" customFormat="false" ht="15" hidden="false" customHeight="false" outlineLevel="0" collapsed="false">
      <c r="A52" s="76" t="s">
        <v>411</v>
      </c>
      <c r="B52" s="62" t="n">
        <f aca="false">SUMIFS(PL!$E$50:$AB$50,Assumptions!$E$190:$AB$190,"A")</f>
        <v>-1103805.74040114</v>
      </c>
      <c r="C52" s="62" t="n">
        <f aca="false">SUMIFS(Budget_FY26!$E$77:$P$77,Assumptions!$E$189:$P$189,"&lt;="&amp;Assumptions!$C$10)</f>
        <v>-980997.92</v>
      </c>
      <c r="D52" s="61" t="n">
        <f aca="false">B52-C52</f>
        <v>-122807.820401143</v>
      </c>
      <c r="E52" s="77" t="n">
        <f aca="false">IF(C52=0,0,D52/ABS(C52))</f>
        <v>-0.125186626696561</v>
      </c>
      <c r="F52" s="62" t="n">
        <f aca="false">PL!$C$50</f>
        <v>-1442797.7644793</v>
      </c>
      <c r="G52" s="62" t="n">
        <f aca="false">Budget_FY26!$C$77</f>
        <v>-1260214.88</v>
      </c>
      <c r="H52" s="61" t="n">
        <f aca="false">F52-G52</f>
        <v>-182582.884479296</v>
      </c>
      <c r="I52" s="77" t="n">
        <f aca="false">IF(G52=0,0,H52/ABS(G52))</f>
        <v>-0.144882342985266</v>
      </c>
      <c r="J52" s="79"/>
    </row>
    <row r="53" customFormat="false" ht="15" hidden="false" customHeight="false" outlineLevel="0" collapsed="false">
      <c r="A53" s="22" t="s">
        <v>545</v>
      </c>
      <c r="B53" s="23"/>
      <c r="C53" s="23"/>
      <c r="D53" s="23"/>
      <c r="E53" s="23"/>
      <c r="F53" s="23"/>
      <c r="G53" s="23"/>
      <c r="H53" s="23"/>
      <c r="I53" s="23"/>
      <c r="J53" s="23"/>
    </row>
    <row r="54" customFormat="false" ht="15" hidden="false" customHeight="false" outlineLevel="0" collapsed="false">
      <c r="A54" s="28" t="s">
        <v>362</v>
      </c>
      <c r="B54" s="65" t="n">
        <f aca="false">INDEX(BS!$E$9:$AB$9,Assumptions!$C$10)</f>
        <v>4314216.6401</v>
      </c>
      <c r="C54" s="65" t="n">
        <f aca="false">INDEX(Budget_FY26!$E$79:$P$79,Assumptions!$C$10)</f>
        <v>4577498</v>
      </c>
      <c r="D54" s="74" t="n">
        <f aca="false">B54-C54</f>
        <v>-263281.359900001</v>
      </c>
      <c r="E54" s="75" t="n">
        <f aca="false">IF(C54=0,0,D54/ABS(C54))</f>
        <v>-0.0575164336281524</v>
      </c>
      <c r="F54" s="65" t="n">
        <f aca="false">BS!$C$9</f>
        <v>3695090.48338292</v>
      </c>
      <c r="G54" s="65" t="n">
        <f aca="false">Budget_FY26!$C$79</f>
        <v>4042869</v>
      </c>
      <c r="H54" s="74" t="n">
        <f aca="false">F54-G54</f>
        <v>-347778.516617077</v>
      </c>
      <c r="I54" s="75" t="n">
        <f aca="false">IF(G54=0,0,H54/ABS(G54))</f>
        <v>-0.0860227023475351</v>
      </c>
    </row>
    <row r="55" customFormat="false" ht="15" hidden="false" customHeight="false" outlineLevel="0" collapsed="false">
      <c r="A55" s="28" t="s">
        <v>546</v>
      </c>
      <c r="B55" s="65" t="n">
        <f aca="false">INDEX(BS!$E$43:$AB$43,Assumptions!$C$10)</f>
        <v>1925978.65</v>
      </c>
      <c r="C55" s="65" t="n">
        <f aca="false">INDEX(Budget_FY26!$E$80:$P$80,Assumptions!$C$10)</f>
        <v>2028726</v>
      </c>
      <c r="D55" s="74" t="n">
        <f aca="false">B55-C55</f>
        <v>-102747.350000001</v>
      </c>
      <c r="E55" s="75" t="n">
        <f aca="false">IF(C55=0,0,D55/ABS(C55))</f>
        <v>-0.0506462430116243</v>
      </c>
      <c r="F55" s="65" t="n">
        <f aca="false">BS!$C$43</f>
        <v>1900824.07114503</v>
      </c>
      <c r="G55" s="65" t="n">
        <f aca="false">Budget_FY26!$C$80</f>
        <v>2086281</v>
      </c>
      <c r="H55" s="74" t="n">
        <f aca="false">F55-G55</f>
        <v>-185456.928854965</v>
      </c>
      <c r="I55" s="75" t="n">
        <f aca="false">IF(G55=0,0,H55/ABS(G55))</f>
        <v>-0.0888935521413296</v>
      </c>
    </row>
    <row r="56" customFormat="false" ht="15" hidden="false" customHeight="false" outlineLevel="0" collapsed="false">
      <c r="A56" s="28" t="s">
        <v>367</v>
      </c>
      <c r="B56" s="69" t="n">
        <f aca="false">INDEX(People!$E$24:$AB$24,Assumptions!$C$10)</f>
        <v>88</v>
      </c>
      <c r="C56" s="69" t="n">
        <f aca="false">INDEX(Budget_FY26!$E$81:$P$81,Assumptions!$C$10)</f>
        <v>95</v>
      </c>
      <c r="D56" s="80" t="n">
        <f aca="false">B56-C56</f>
        <v>-7</v>
      </c>
      <c r="E56" s="75" t="n">
        <f aca="false">IF(C56=0,0,D56/ABS(C56))</f>
        <v>-0.0736842105263158</v>
      </c>
      <c r="F56" s="69" t="n">
        <f aca="false">People!$C$24</f>
        <v>88.7179553678983</v>
      </c>
      <c r="G56" s="69" t="n">
        <f aca="false">Budget_FY26!$C$81</f>
        <v>98</v>
      </c>
      <c r="H56" s="80" t="n">
        <f aca="false">F56-G56</f>
        <v>-9.28204463210166</v>
      </c>
      <c r="I56" s="75" t="n">
        <f aca="false">IF(G56=0,0,H56/ABS(G56))</f>
        <v>-0.0947147411438945</v>
      </c>
    </row>
    <row r="58" customFormat="false" ht="15" hidden="false" customHeight="false" outlineLevel="0" collapsed="false">
      <c r="A58" s="22" t="s">
        <v>547</v>
      </c>
      <c r="B58" s="23"/>
      <c r="C58" s="23"/>
      <c r="D58" s="23"/>
      <c r="E58" s="23"/>
      <c r="F58" s="23"/>
      <c r="G58" s="23"/>
      <c r="H58" s="23"/>
      <c r="I58" s="23"/>
      <c r="J58" s="23"/>
    </row>
    <row r="59" customFormat="false" ht="30" hidden="false" customHeight="true" outlineLevel="0" collapsed="false">
      <c r="A59" s="43" t="s">
        <v>548</v>
      </c>
      <c r="B59" s="44" t="s">
        <v>549</v>
      </c>
      <c r="C59" s="44" t="s">
        <v>550</v>
      </c>
      <c r="D59" s="44" t="s">
        <v>551</v>
      </c>
      <c r="E59" s="44" t="s">
        <v>552</v>
      </c>
      <c r="F59" s="44" t="s">
        <v>553</v>
      </c>
      <c r="G59" s="44" t="s">
        <v>554</v>
      </c>
      <c r="H59" s="44" t="s">
        <v>551</v>
      </c>
      <c r="I59" s="44" t="s">
        <v>555</v>
      </c>
    </row>
    <row r="60" customFormat="false" ht="15" hidden="false" customHeight="false" outlineLevel="0" collapsed="false">
      <c r="A60" s="0" t="s">
        <v>556</v>
      </c>
      <c r="B60" s="29" t="n">
        <f aca="false">SUMIFS(ARR_Bridge!$E$10:$P$10,Assumptions!$E$189:$P$189,"&lt;="&amp;Assumptions!$C$10)</f>
        <v>48184.65</v>
      </c>
      <c r="C60" s="29" t="n">
        <f aca="false">SUMIFS(Budget_FY26!$E$9:$P$9,Assumptions!$E$189:$P$189,"&lt;="&amp;Assumptions!$C$10)</f>
        <v>58840</v>
      </c>
      <c r="D60" s="29" t="n">
        <f aca="false">B60-C60</f>
        <v>-10655.35</v>
      </c>
      <c r="E60" s="29" t="n">
        <f aca="false">SUMPRODUCT((ARR_Bridge!$E$10:$P$10-Budget_FY26!$E$9:$P$9)*(Assumptions!$C$10-Assumptions!$E$189:$P$189+1)*(Assumptions!$E$189:$P$189&lt;=Assumptions!$C$10))</f>
        <v>-59403.88</v>
      </c>
      <c r="F60" s="29" t="n">
        <f aca="false">SUM(ARR_Bridge!$E$10:$P$10)</f>
        <v>73671.732</v>
      </c>
      <c r="G60" s="29" t="n">
        <f aca="false">SUM(Budget_FY26!$E$9:$P$9)</f>
        <v>89424</v>
      </c>
      <c r="H60" s="29" t="n">
        <f aca="false">F60-G60</f>
        <v>-15752.268</v>
      </c>
      <c r="I60" s="29" t="n">
        <f aca="false">SUMPRODUCT((ARR_Bridge!$E$10:$P$10-Budget_FY26!$E$9:$P$9)*(13-Assumptions!$E$189:$P$189))</f>
        <v>-115262.511</v>
      </c>
    </row>
    <row r="61" customFormat="false" ht="15" hidden="false" customHeight="false" outlineLevel="0" collapsed="false">
      <c r="A61" s="0" t="s">
        <v>557</v>
      </c>
      <c r="B61" s="29" t="n">
        <f aca="false">SUMIFS(ARR_Bridge!$E$11:$P$11,Assumptions!$E$189:$P$189,"&lt;="&amp;Assumptions!$C$10)</f>
        <v>14907.09</v>
      </c>
      <c r="C61" s="29" t="n">
        <f aca="false">SUMIFS(Budget_FY26!$E$10:$P$10,Assumptions!$E$189:$P$189,"&lt;="&amp;Assumptions!$C$10)</f>
        <v>16093</v>
      </c>
      <c r="D61" s="29" t="n">
        <f aca="false">B61-C61</f>
        <v>-1185.91</v>
      </c>
      <c r="E61" s="29" t="n">
        <f aca="false">SUMPRODUCT((ARR_Bridge!$E$11:$P$11-Budget_FY26!$E$10:$P$10)*(Assumptions!$C$10-Assumptions!$E$189:$P$189+1)*(Assumptions!$E$189:$P$189&lt;=Assumptions!$C$10))</f>
        <v>-4225.57</v>
      </c>
      <c r="F61" s="29" t="n">
        <f aca="false">SUM(ARR_Bridge!$E$11:$P$11)</f>
        <v>23278.4339675832</v>
      </c>
      <c r="G61" s="29" t="n">
        <f aca="false">SUM(Budget_FY26!$E$10:$P$10)</f>
        <v>25355</v>
      </c>
      <c r="H61" s="29" t="n">
        <f aca="false">F61-G61</f>
        <v>-2076.56603241685</v>
      </c>
      <c r="I61" s="29" t="n">
        <f aca="false">SUMPRODUCT((ARR_Bridge!$E$11:$P$11-Budget_FY26!$E$10:$P$10)*(13-Assumptions!$E$189:$P$189))</f>
        <v>-11099.0640432042</v>
      </c>
    </row>
    <row r="62" customFormat="false" ht="15" hidden="false" customHeight="false" outlineLevel="0" collapsed="false">
      <c r="A62" s="0" t="s">
        <v>558</v>
      </c>
      <c r="B62" s="29" t="n">
        <f aca="false">SUMIFS(ARR_Bridge!$E$12:$P$12,Assumptions!$E$189:$P$189,"&lt;="&amp;Assumptions!$C$10)</f>
        <v>8038.61</v>
      </c>
      <c r="C62" s="29" t="n">
        <f aca="false">SUMIFS(Budget_FY26!$E$11:$P$11,Assumptions!$E$189:$P$189,"&lt;="&amp;Assumptions!$C$10)</f>
        <v>8110</v>
      </c>
      <c r="D62" s="29" t="n">
        <f aca="false">B62-C62</f>
        <v>-71.3900000000003</v>
      </c>
      <c r="E62" s="29" t="n">
        <f aca="false">SUMPRODUCT((ARR_Bridge!$E$12:$P$12-Budget_FY26!$E$11:$P$11)*(Assumptions!$C$10-Assumptions!$E$189:$P$189+1)*(Assumptions!$E$189:$P$189&lt;=Assumptions!$C$10))</f>
        <v>-571.120000000003</v>
      </c>
      <c r="F62" s="29" t="n">
        <f aca="false">SUM(ARR_Bridge!$E$12:$P$12)</f>
        <v>8038.61</v>
      </c>
      <c r="G62" s="29" t="n">
        <f aca="false">SUM(Budget_FY26!$E$11:$P$11)</f>
        <v>8110</v>
      </c>
      <c r="H62" s="29" t="n">
        <f aca="false">F62-G62</f>
        <v>-71.3900000000003</v>
      </c>
      <c r="I62" s="29" t="n">
        <f aca="false">SUMPRODUCT((ARR_Bridge!$E$12:$P$12-Budget_FY26!$E$11:$P$11)*(13-Assumptions!$E$189:$P$189))</f>
        <v>-856.680000000004</v>
      </c>
    </row>
    <row r="63" customFormat="false" ht="15" hidden="false" customHeight="false" outlineLevel="0" collapsed="false">
      <c r="A63" s="0" t="s">
        <v>559</v>
      </c>
      <c r="B63" s="29" t="n">
        <f aca="false">SUMIFS(ARR_Bridge!$E$13:$P$13,Assumptions!$E$189:$P$189,"&lt;="&amp;Assumptions!$C$10)</f>
        <v>-6534.62</v>
      </c>
      <c r="C63" s="29" t="n">
        <f aca="false">SUMIFS(Budget_FY26!$E$12:$P$12,Assumptions!$E$189:$P$189,"&lt;="&amp;Assumptions!$C$10)</f>
        <v>-6896</v>
      </c>
      <c r="D63" s="29" t="n">
        <f aca="false">B63-C63</f>
        <v>361.38</v>
      </c>
      <c r="E63" s="29" t="n">
        <f aca="false">SUMPRODUCT((ARR_Bridge!$E$13:$P$13-Budget_FY26!$E$12:$P$12)*(Assumptions!$C$10-Assumptions!$E$189:$P$189+1)*(Assumptions!$E$189:$P$189&lt;=Assumptions!$C$10))</f>
        <v>764.520000000001</v>
      </c>
      <c r="F63" s="29" t="n">
        <f aca="false">SUM(ARR_Bridge!$E$13:$P$13)</f>
        <v>-10122.3388432499</v>
      </c>
      <c r="G63" s="29" t="n">
        <f aca="false">SUM(Budget_FY26!$E$12:$P$12)</f>
        <v>-10865</v>
      </c>
      <c r="H63" s="29" t="n">
        <f aca="false">F63-G63</f>
        <v>742.661156750079</v>
      </c>
      <c r="I63" s="29" t="n">
        <f aca="false">SUMPRODUCT((ARR_Bridge!$E$13:$P$13-Budget_FY26!$E$12:$P$12)*(13-Assumptions!$E$189:$P$189))</f>
        <v>3122.26316137322</v>
      </c>
    </row>
    <row r="64" customFormat="false" ht="15" hidden="false" customHeight="false" outlineLevel="0" collapsed="false">
      <c r="A64" s="0" t="s">
        <v>560</v>
      </c>
      <c r="B64" s="29" t="n">
        <f aca="false">SUMIFS(ARR_Bridge!$E$14:$P$14,Assumptions!$E$189:$P$189,"&lt;="&amp;Assumptions!$C$10)</f>
        <v>-35021.36</v>
      </c>
      <c r="C64" s="29" t="n">
        <f aca="false">SUMIFS(Budget_FY26!$E$13:$P$13,Assumptions!$E$189:$P$189,"&lt;="&amp;Assumptions!$C$10)</f>
        <v>-28159</v>
      </c>
      <c r="D64" s="29" t="n">
        <f aca="false">B64-C64</f>
        <v>-6862.36</v>
      </c>
      <c r="E64" s="29" t="n">
        <f aca="false">SUMPRODUCT((ARR_Bridge!$E$14:$P$14-Budget_FY26!$E$13:$P$13)*(Assumptions!$C$10-Assumptions!$E$189:$P$189+1)*(Assumptions!$E$189:$P$189&lt;=Assumptions!$C$10))</f>
        <v>-35143.98</v>
      </c>
      <c r="F64" s="29" t="n">
        <f aca="false">SUM(ARR_Bridge!$E$14:$P$14)</f>
        <v>-52464.4978229572</v>
      </c>
      <c r="G64" s="29" t="n">
        <f aca="false">SUM(Budget_FY26!$E$13:$P$13)</f>
        <v>-44161</v>
      </c>
      <c r="H64" s="29" t="n">
        <f aca="false">F64-G64</f>
        <v>-8303.49782295716</v>
      </c>
      <c r="I64" s="29" t="n">
        <f aca="false">SUMPRODUCT((ARR_Bridge!$E$14:$P$14-Budget_FY26!$E$13:$P$13)*(13-Assumptions!$E$189:$P$189))</f>
        <v>-66370.934761255</v>
      </c>
    </row>
    <row r="65" customFormat="false" ht="15" hidden="false" customHeight="false" outlineLevel="0" collapsed="false">
      <c r="A65" s="0" t="s">
        <v>561</v>
      </c>
      <c r="B65" s="29" t="n">
        <f aca="false">SUMIFS(ARR_Bridge!$E$25:$P$25,Assumptions!$E$189:$P$189,"&lt;="&amp;Assumptions!$C$10)</f>
        <v>40129.4</v>
      </c>
      <c r="C65" s="29" t="n">
        <f aca="false">SUMIFS(Budget_FY26!$E$19:$P$19,Assumptions!$E$189:$P$189,"&lt;="&amp;Assumptions!$C$10)</f>
        <v>41906</v>
      </c>
      <c r="D65" s="29" t="n">
        <f aca="false">B65-C65</f>
        <v>-1776.6</v>
      </c>
      <c r="E65" s="29" t="n">
        <f aca="false">SUMPRODUCT((ARR_Bridge!$E$25:$P$25-Budget_FY26!$E$19:$P$19)*(Assumptions!$C$10-Assumptions!$E$189:$P$189+1)*(Assumptions!$E$189:$P$189&lt;=Assumptions!$C$10))</f>
        <v>-3916.82</v>
      </c>
      <c r="F65" s="29" t="n">
        <f aca="false">SUM(ARR_Bridge!$E$25:$P$25)</f>
        <v>56367.6673</v>
      </c>
      <c r="G65" s="29" t="n">
        <f aca="false">SUM(Budget_FY26!$E$19:$P$19)</f>
        <v>63688</v>
      </c>
      <c r="H65" s="29" t="n">
        <f aca="false">F65-G65</f>
        <v>-7320.3327</v>
      </c>
      <c r="I65" s="29" t="n">
        <f aca="false">SUMPRODUCT((ARR_Bridge!$E$25:$P$25-Budget_FY26!$E$19:$P$19)*(13-Assumptions!$E$189:$P$189))</f>
        <v>-25420.28215</v>
      </c>
    </row>
    <row r="66" customFormat="false" ht="15" hidden="false" customHeight="false" outlineLevel="0" collapsed="false">
      <c r="A66" s="0" t="s">
        <v>562</v>
      </c>
      <c r="B66" s="29" t="n">
        <f aca="false">SUMIFS(ARR_Bridge!$E$26:$P$26,Assumptions!$E$189:$P$189,"&lt;="&amp;Assumptions!$C$10)</f>
        <v>11357.89</v>
      </c>
      <c r="C66" s="29" t="n">
        <f aca="false">SUMIFS(Budget_FY26!$E$20:$P$20,Assumptions!$E$189:$P$189,"&lt;="&amp;Assumptions!$C$10)</f>
        <v>12122</v>
      </c>
      <c r="D66" s="29" t="n">
        <f aca="false">B66-C66</f>
        <v>-764.110000000001</v>
      </c>
      <c r="E66" s="29" t="n">
        <f aca="false">SUMPRODUCT((ARR_Bridge!$E$26:$P$26-Budget_FY26!$E$20:$P$20)*(Assumptions!$C$10-Assumptions!$E$189:$P$189+1)*(Assumptions!$E$189:$P$189&lt;=Assumptions!$C$10))</f>
        <v>-3462.02</v>
      </c>
      <c r="F66" s="29" t="n">
        <f aca="false">SUM(ARR_Bridge!$E$26:$P$26)</f>
        <v>17424.8035077648</v>
      </c>
      <c r="G66" s="29" t="n">
        <f aca="false">SUM(Budget_FY26!$E$20:$P$20)</f>
        <v>18564</v>
      </c>
      <c r="H66" s="29" t="n">
        <f aca="false">F66-G66</f>
        <v>-1139.19649223518</v>
      </c>
      <c r="I66" s="29" t="n">
        <f aca="false">SUMPRODUCT((ARR_Bridge!$E$26:$P$26-Budget_FY26!$E$20:$P$20)*(13-Assumptions!$E$189:$P$189))</f>
        <v>-7413.39868221636</v>
      </c>
    </row>
    <row r="67" customFormat="false" ht="15" hidden="false" customHeight="false" outlineLevel="0" collapsed="false">
      <c r="A67" s="0" t="s">
        <v>563</v>
      </c>
      <c r="B67" s="29" t="n">
        <f aca="false">SUMIFS(ARR_Bridge!$E$27:$P$27,Assumptions!$E$189:$P$189,"&lt;="&amp;Assumptions!$C$10)</f>
        <v>4496.9</v>
      </c>
      <c r="C67" s="29" t="n">
        <f aca="false">SUMIFS(Budget_FY26!$E$21:$P$21,Assumptions!$E$189:$P$189,"&lt;="&amp;Assumptions!$C$10)</f>
        <v>5009</v>
      </c>
      <c r="D67" s="29" t="n">
        <f aca="false">B67-C67</f>
        <v>-512.1</v>
      </c>
      <c r="E67" s="29" t="n">
        <f aca="false">SUMPRODUCT((ARR_Bridge!$E$27:$P$27-Budget_FY26!$E$21:$P$21)*(Assumptions!$C$10-Assumptions!$E$189:$P$189+1)*(Assumptions!$E$189:$P$189&lt;=Assumptions!$C$10))</f>
        <v>-2624.72</v>
      </c>
      <c r="F67" s="29" t="n">
        <f aca="false">SUM(ARR_Bridge!$E$27:$P$27)</f>
        <v>6492.67645702395</v>
      </c>
      <c r="G67" s="29" t="n">
        <f aca="false">SUM(Budget_FY26!$E$21:$P$21)</f>
        <v>7034</v>
      </c>
      <c r="H67" s="29" t="n">
        <f aca="false">F67-G67</f>
        <v>-541.323542976053</v>
      </c>
      <c r="I67" s="29" t="n">
        <f aca="false">SUMPRODUCT((ARR_Bridge!$E$27:$P$27-Budget_FY26!$E$21:$P$21)*(13-Assumptions!$E$189:$P$189))</f>
        <v>-4749.17991977186</v>
      </c>
    </row>
    <row r="68" customFormat="false" ht="15" hidden="false" customHeight="false" outlineLevel="0" collapsed="false">
      <c r="A68" s="0" t="s">
        <v>564</v>
      </c>
      <c r="B68" s="29" t="n">
        <f aca="false">SUMIFS(ARR_Bridge!$E$28:$P$28,Assumptions!$E$189:$P$189,"&lt;="&amp;Assumptions!$C$10)</f>
        <v>-2438.56</v>
      </c>
      <c r="C68" s="29" t="n">
        <f aca="false">SUMIFS(Budget_FY26!$E$22:$P$22,Assumptions!$E$189:$P$189,"&lt;="&amp;Assumptions!$C$10)</f>
        <v>-2180</v>
      </c>
      <c r="D68" s="29" t="n">
        <f aca="false">B68-C68</f>
        <v>-258.56</v>
      </c>
      <c r="E68" s="29" t="n">
        <f aca="false">SUMPRODUCT((ARR_Bridge!$E$28:$P$28-Budget_FY26!$E$22:$P$22)*(Assumptions!$C$10-Assumptions!$E$189:$P$189+1)*(Assumptions!$E$189:$P$189&lt;=Assumptions!$C$10))</f>
        <v>-1674.96</v>
      </c>
      <c r="F68" s="29" t="n">
        <f aca="false">SUM(ARR_Bridge!$E$28:$P$28)</f>
        <v>-3286.72604358726</v>
      </c>
      <c r="G68" s="29" t="n">
        <f aca="false">SUM(Budget_FY26!$E$22:$P$22)</f>
        <v>-3040</v>
      </c>
      <c r="H68" s="29" t="n">
        <f aca="false">F68-G68</f>
        <v>-246.726043587257</v>
      </c>
      <c r="I68" s="29" t="n">
        <f aca="false">SUMPRODUCT((ARR_Bridge!$E$28:$P$28-Budget_FY26!$E$22:$P$22)*(13-Assumptions!$E$189:$P$189))</f>
        <v>-2678.41768626031</v>
      </c>
    </row>
    <row r="69" customFormat="false" ht="15" hidden="false" customHeight="false" outlineLevel="0" collapsed="false">
      <c r="A69" s="0" t="s">
        <v>565</v>
      </c>
      <c r="B69" s="29" t="n">
        <f aca="false">SUMIFS(ARR_Bridge!$E$29:$P$29,Assumptions!$E$189:$P$189,"&lt;="&amp;Assumptions!$C$10)</f>
        <v>-20976.29</v>
      </c>
      <c r="C69" s="29" t="n">
        <f aca="false">SUMIFS(Budget_FY26!$E$23:$P$23,Assumptions!$E$189:$P$189,"&lt;="&amp;Assumptions!$C$10)</f>
        <v>-11125</v>
      </c>
      <c r="D69" s="29" t="n">
        <f aca="false">B69-C69</f>
        <v>-9851.29</v>
      </c>
      <c r="E69" s="29" t="n">
        <f aca="false">SUMPRODUCT((ARR_Bridge!$E$29:$P$29-Budget_FY26!$E$23:$P$23)*(Assumptions!$C$10-Assumptions!$E$189:$P$189+1)*(Assumptions!$E$189:$P$189&lt;=Assumptions!$C$10))</f>
        <v>-50470.11</v>
      </c>
      <c r="F69" s="29" t="n">
        <f aca="false">SUM(ARR_Bridge!$E$29:$P$29)</f>
        <v>-25628.9752335856</v>
      </c>
      <c r="G69" s="29" t="n">
        <f aca="false">SUM(Budget_FY26!$E$23:$P$23)</f>
        <v>-15307</v>
      </c>
      <c r="H69" s="29" t="n">
        <f aca="false">F69-G69</f>
        <v>-10321.9752335856</v>
      </c>
      <c r="I69" s="29" t="n">
        <f aca="false">SUMPRODUCT((ARR_Bridge!$E$29:$P$29-Budget_FY26!$E$23:$P$23)*(13-Assumptions!$E$189:$P$189))</f>
        <v>-90989.9843661062</v>
      </c>
    </row>
    <row r="70" customFormat="false" ht="15" hidden="false" customHeight="false" outlineLevel="0" collapsed="false">
      <c r="A70" s="0" t="s">
        <v>566</v>
      </c>
      <c r="B70" s="29" t="n">
        <f aca="false">SUMIFS(ARR_Bridge!$E$40:$P$40,Assumptions!$E$189:$P$189,"&lt;="&amp;Assumptions!$C$10)</f>
        <v>17300</v>
      </c>
      <c r="C70" s="29" t="n">
        <f aca="false">SUMIFS(Budget_FY26!$E$29:$P$29,Assumptions!$E$189:$P$189,"&lt;="&amp;Assumptions!$C$10)</f>
        <v>16000</v>
      </c>
      <c r="D70" s="29" t="n">
        <f aca="false">B70-C70</f>
        <v>1300</v>
      </c>
      <c r="E70" s="29" t="n">
        <f aca="false">SUMPRODUCT((ARR_Bridge!$E$40:$P$40-Budget_FY26!$E$29:$P$29)*(Assumptions!$C$10-Assumptions!$E$189:$P$189+1)*(Assumptions!$E$189:$P$189&lt;=Assumptions!$C$10))</f>
        <v>-5900</v>
      </c>
      <c r="F70" s="29" t="n">
        <f aca="false">SUM(ARR_Bridge!$E$40:$P$40)</f>
        <v>26120</v>
      </c>
      <c r="G70" s="29" t="n">
        <f aca="false">SUM(Budget_FY26!$E$29:$P$29)</f>
        <v>31000</v>
      </c>
      <c r="H70" s="29" t="n">
        <f aca="false">F70-G70</f>
        <v>-4880</v>
      </c>
      <c r="I70" s="29" t="n">
        <f aca="false">SUMPRODUCT((ARR_Bridge!$E$40:$P$40-Budget_FY26!$E$29:$P$29)*(13-Assumptions!$E$189:$P$189))</f>
        <v>-31560</v>
      </c>
    </row>
    <row r="71" customFormat="false" ht="15" hidden="false" customHeight="false" outlineLevel="0" collapsed="false">
      <c r="A71" s="0" t="s">
        <v>567</v>
      </c>
      <c r="B71" s="29" t="n">
        <f aca="false">SUMIFS(ARR_Bridge!$E$41:$P$41,Assumptions!$E$189:$P$189,"&lt;="&amp;Assumptions!$C$10)</f>
        <v>5624.11</v>
      </c>
      <c r="C71" s="29" t="n">
        <f aca="false">SUMIFS(Budget_FY26!$E$30:$P$30,Assumptions!$E$189:$P$189,"&lt;="&amp;Assumptions!$C$10)</f>
        <v>4061</v>
      </c>
      <c r="D71" s="29" t="n">
        <f aca="false">B71-C71</f>
        <v>1563.11</v>
      </c>
      <c r="E71" s="29" t="n">
        <f aca="false">SUMPRODUCT((ARR_Bridge!$E$41:$P$41-Budget_FY26!$E$30:$P$30)*(Assumptions!$C$10-Assumptions!$E$189:$P$189+1)*(Assumptions!$E$189:$P$189&lt;=Assumptions!$C$10))</f>
        <v>6914.15</v>
      </c>
      <c r="F71" s="29" t="n">
        <f aca="false">SUM(ARR_Bridge!$E$41:$P$41)</f>
        <v>7564.29944004</v>
      </c>
      <c r="G71" s="29" t="n">
        <f aca="false">SUM(Budget_FY26!$E$30:$P$30)</f>
        <v>6144</v>
      </c>
      <c r="H71" s="29" t="n">
        <f aca="false">F71-G71</f>
        <v>1420.29944004</v>
      </c>
      <c r="I71" s="29" t="n">
        <f aca="false">SUMPRODUCT((ARR_Bridge!$E$41:$P$41-Budget_FY26!$E$30:$P$30)*(13-Assumptions!$E$189:$P$189))</f>
        <v>12732.64285716</v>
      </c>
    </row>
    <row r="72" customFormat="false" ht="15" hidden="false" customHeight="false" outlineLevel="0" collapsed="false">
      <c r="A72" s="0" t="s">
        <v>568</v>
      </c>
      <c r="B72" s="29" t="n">
        <f aca="false">SUMIFS(ARR_Bridge!$E$42:$P$42,Assumptions!$E$189:$P$189,"&lt;="&amp;Assumptions!$C$10)</f>
        <v>2446.6</v>
      </c>
      <c r="C72" s="29" t="n">
        <f aca="false">SUMIFS(Budget_FY26!$E$31:$P$31,Assumptions!$E$189:$P$189,"&lt;="&amp;Assumptions!$C$10)</f>
        <v>2654</v>
      </c>
      <c r="D72" s="29" t="n">
        <f aca="false">B72-C72</f>
        <v>-207.4</v>
      </c>
      <c r="E72" s="29" t="n">
        <f aca="false">SUMPRODUCT((ARR_Bridge!$E$42:$P$42-Budget_FY26!$E$31:$P$31)*(Assumptions!$C$10-Assumptions!$E$189:$P$189+1)*(Assumptions!$E$189:$P$189&lt;=Assumptions!$C$10))</f>
        <v>-1449.65</v>
      </c>
      <c r="F72" s="29" t="n">
        <f aca="false">SUM(ARR_Bridge!$E$42:$P$42)</f>
        <v>3716.179297</v>
      </c>
      <c r="G72" s="29" t="n">
        <f aca="false">SUM(Budget_FY26!$E$31:$P$31)</f>
        <v>4016</v>
      </c>
      <c r="H72" s="29" t="n">
        <f aca="false">F72-G72</f>
        <v>-299.820703</v>
      </c>
      <c r="I72" s="29" t="n">
        <f aca="false">SUMPRODUCT((ARR_Bridge!$E$42:$P$42-Budget_FY26!$E$31:$P$31)*(13-Assumptions!$E$189:$P$189))</f>
        <v>-2559.677637</v>
      </c>
    </row>
    <row r="73" customFormat="false" ht="15" hidden="false" customHeight="false" outlineLevel="0" collapsed="false">
      <c r="A73" s="0" t="s">
        <v>569</v>
      </c>
      <c r="B73" s="29" t="n">
        <f aca="false">SUMIFS(ARR_Bridge!$E$43:$P$43,Assumptions!$E$189:$P$189,"&lt;="&amp;Assumptions!$C$10)</f>
        <v>0</v>
      </c>
      <c r="C73" s="29" t="n">
        <f aca="false">SUMIFS(Budget_FY26!$E$32:$P$32,Assumptions!$E$189:$P$189,"&lt;="&amp;Assumptions!$C$10)</f>
        <v>0</v>
      </c>
      <c r="D73" s="29" t="n">
        <f aca="false">B73-C73</f>
        <v>0</v>
      </c>
      <c r="E73" s="29" t="n">
        <f aca="false">SUMPRODUCT((ARR_Bridge!$E$43:$P$43-Budget_FY26!$E$32:$P$32)*(Assumptions!$C$10-Assumptions!$E$189:$P$189+1)*(Assumptions!$E$189:$P$189&lt;=Assumptions!$C$10))</f>
        <v>0</v>
      </c>
      <c r="F73" s="29" t="n">
        <f aca="false">SUM(ARR_Bridge!$E$43:$P$43)</f>
        <v>0</v>
      </c>
      <c r="G73" s="29" t="n">
        <f aca="false">SUM(Budget_FY26!$E$32:$P$32)</f>
        <v>0</v>
      </c>
      <c r="H73" s="29" t="n">
        <f aca="false">F73-G73</f>
        <v>0</v>
      </c>
      <c r="I73" s="29" t="n">
        <f aca="false">SUMPRODUCT((ARR_Bridge!$E$43:$P$43-Budget_FY26!$E$32:$P$32)*(13-Assumptions!$E$189:$P$189))</f>
        <v>0</v>
      </c>
    </row>
    <row r="74" customFormat="false" ht="15" hidden="false" customHeight="false" outlineLevel="0" collapsed="false">
      <c r="A74" s="0" t="s">
        <v>570</v>
      </c>
      <c r="B74" s="29" t="n">
        <f aca="false">SUMIFS(ARR_Bridge!$E$44:$P$44,Assumptions!$E$189:$P$189,"&lt;="&amp;Assumptions!$C$10)</f>
        <v>-6888.32</v>
      </c>
      <c r="C74" s="29" t="n">
        <f aca="false">SUMIFS(Budget_FY26!$E$33:$P$33,Assumptions!$E$189:$P$189,"&lt;="&amp;Assumptions!$C$10)</f>
        <v>0</v>
      </c>
      <c r="D74" s="29" t="n">
        <f aca="false">B74-C74</f>
        <v>-6888.32</v>
      </c>
      <c r="E74" s="29" t="n">
        <f aca="false">SUMPRODUCT((ARR_Bridge!$E$44:$P$44-Budget_FY26!$E$33:$P$33)*(Assumptions!$C$10-Assumptions!$E$189:$P$189+1)*(Assumptions!$E$189:$P$189&lt;=Assumptions!$C$10))</f>
        <v>-48218.24</v>
      </c>
      <c r="F74" s="29" t="n">
        <f aca="false">SUM(ARR_Bridge!$E$44:$P$44)</f>
        <v>-9956.4901</v>
      </c>
      <c r="G74" s="29" t="n">
        <f aca="false">SUM(Budget_FY26!$E$33:$P$33)</f>
        <v>0</v>
      </c>
      <c r="H74" s="29" t="n">
        <f aca="false">F74-G74</f>
        <v>-9956.4901</v>
      </c>
      <c r="I74" s="29" t="n">
        <f aca="false">SUMPRODUCT((ARR_Bridge!$E$44:$P$44-Budget_FY26!$E$33:$P$33)*(13-Assumptions!$E$189:$P$189))</f>
        <v>-85060.9979</v>
      </c>
    </row>
    <row r="75" customFormat="false" ht="15" hidden="false" customHeight="false" outlineLevel="0" collapsed="false">
      <c r="A75" s="0" t="s">
        <v>375</v>
      </c>
      <c r="B75" s="29" t="n">
        <f aca="false">B21</f>
        <v>117300</v>
      </c>
      <c r="C75" s="29" t="n">
        <f aca="false">C21</f>
        <v>119784</v>
      </c>
      <c r="D75" s="29" t="n">
        <f aca="false">B75-C75</f>
        <v>-2484</v>
      </c>
      <c r="E75" s="29" t="n">
        <f aca="false">D75</f>
        <v>-2484</v>
      </c>
      <c r="F75" s="29" t="n">
        <f aca="false">F21</f>
        <v>182921.14375</v>
      </c>
      <c r="G75" s="29" t="n">
        <f aca="false">G21</f>
        <v>195819</v>
      </c>
      <c r="H75" s="29" t="n">
        <f aca="false">F75-G75</f>
        <v>-12897.85625</v>
      </c>
      <c r="I75" s="29" t="n">
        <f aca="false">H75</f>
        <v>-12897.85625</v>
      </c>
    </row>
    <row r="76" customFormat="false" ht="15" hidden="false" customHeight="false" outlineLevel="0" collapsed="false">
      <c r="A76" s="83" t="s">
        <v>571</v>
      </c>
      <c r="E76" s="84" t="n">
        <f aca="false">SUM(E60:E75)</f>
        <v>-211866.4</v>
      </c>
      <c r="I76" s="84" t="n">
        <f aca="false">SUM(I60:I75)</f>
        <v>-441064.078377281</v>
      </c>
    </row>
    <row r="77" customFormat="false" ht="15" hidden="false" customHeight="false" outlineLevel="0" collapsed="false">
      <c r="A77" s="5" t="s">
        <v>572</v>
      </c>
      <c r="E77" s="36" t="n">
        <f aca="false">ROUND(E76-D22,0)</f>
        <v>0</v>
      </c>
      <c r="I77" s="36" t="n">
        <f aca="false">ROUND(I76-H22,0)</f>
        <v>0</v>
      </c>
    </row>
    <row r="78" customFormat="false" ht="30" hidden="false" customHeight="true" outlineLevel="0" collapsed="false">
      <c r="A78" s="85" t="s">
        <v>573</v>
      </c>
      <c r="B78" s="85"/>
      <c r="C78" s="85"/>
      <c r="D78" s="85"/>
      <c r="E78" s="85"/>
      <c r="F78" s="85"/>
      <c r="G78" s="85"/>
      <c r="H78" s="85"/>
      <c r="I78" s="85"/>
      <c r="J78" s="85"/>
    </row>
    <row r="80" customFormat="false" ht="15" hidden="false" customHeight="false" outlineLevel="0" collapsed="false">
      <c r="A80" s="22" t="s">
        <v>574</v>
      </c>
      <c r="B80" s="23"/>
      <c r="C80" s="23"/>
      <c r="D80" s="23"/>
      <c r="E80" s="23"/>
      <c r="F80" s="23"/>
      <c r="G80" s="23"/>
      <c r="H80" s="23"/>
      <c r="I80" s="23"/>
      <c r="J80" s="23"/>
    </row>
    <row r="81" customFormat="false" ht="15" hidden="false" customHeight="false" outlineLevel="0" collapsed="false">
      <c r="A81" s="5" t="s">
        <v>575</v>
      </c>
      <c r="B81" s="29" t="n">
        <f aca="false">C46</f>
        <v>-474845.92</v>
      </c>
    </row>
    <row r="82" customFormat="false" ht="15" hidden="false" customHeight="false" outlineLevel="0" collapsed="false">
      <c r="A82" s="86" t="s">
        <v>576</v>
      </c>
      <c r="B82" s="29" t="n">
        <f aca="false">D17</f>
        <v>-98580.0299999998</v>
      </c>
    </row>
    <row r="83" customFormat="false" ht="15" hidden="false" customHeight="false" outlineLevel="0" collapsed="false">
      <c r="A83" s="86" t="s">
        <v>577</v>
      </c>
      <c r="B83" s="29" t="n">
        <f aca="false">D18</f>
        <v>-62148.6300000001</v>
      </c>
    </row>
    <row r="84" customFormat="false" ht="15" hidden="false" customHeight="false" outlineLevel="0" collapsed="false">
      <c r="A84" s="86" t="s">
        <v>578</v>
      </c>
      <c r="B84" s="29" t="n">
        <f aca="false">D19</f>
        <v>-48653.7399999998</v>
      </c>
    </row>
    <row r="85" customFormat="false" ht="15" hidden="false" customHeight="false" outlineLevel="0" collapsed="false">
      <c r="A85" s="86" t="s">
        <v>535</v>
      </c>
      <c r="B85" s="29" t="n">
        <f aca="false">D21</f>
        <v>-2484</v>
      </c>
    </row>
    <row r="86" customFormat="false" ht="15" hidden="false" customHeight="false" outlineLevel="0" collapsed="false">
      <c r="A86" s="86" t="s">
        <v>579</v>
      </c>
      <c r="B86" s="29" t="n">
        <f aca="false">D23+D24+D25</f>
        <v>9933.03999999999</v>
      </c>
    </row>
    <row r="87" customFormat="false" ht="15" hidden="false" customHeight="false" outlineLevel="0" collapsed="false">
      <c r="A87" s="86" t="s">
        <v>538</v>
      </c>
      <c r="B87" s="29" t="n">
        <f aca="false">D26</f>
        <v>16112.28</v>
      </c>
    </row>
    <row r="88" customFormat="false" ht="15" hidden="false" customHeight="false" outlineLevel="0" collapsed="false">
      <c r="A88" s="86" t="s">
        <v>580</v>
      </c>
      <c r="B88" s="29" t="n">
        <f aca="false">D30+D31</f>
        <v>85580.77</v>
      </c>
    </row>
    <row r="89" customFormat="false" ht="15" hidden="false" customHeight="false" outlineLevel="0" collapsed="false">
      <c r="A89" s="86" t="s">
        <v>541</v>
      </c>
      <c r="B89" s="29" t="n">
        <f aca="false">D32</f>
        <v>33037.4</v>
      </c>
    </row>
    <row r="90" customFormat="false" ht="15" hidden="false" customHeight="false" outlineLevel="0" collapsed="false">
      <c r="A90" s="86" t="s">
        <v>581</v>
      </c>
      <c r="B90" s="29" t="n">
        <f aca="false">D33+D34</f>
        <v>-66352.5000000001</v>
      </c>
    </row>
    <row r="91" customFormat="false" ht="15" hidden="false" customHeight="false" outlineLevel="0" collapsed="false">
      <c r="A91" s="86" t="s">
        <v>582</v>
      </c>
      <c r="B91" s="29" t="n">
        <f aca="false">D35</f>
        <v>265.17200625001</v>
      </c>
    </row>
    <row r="92" customFormat="false" ht="15" hidden="false" customHeight="false" outlineLevel="0" collapsed="false">
      <c r="A92" s="86" t="s">
        <v>394</v>
      </c>
      <c r="B92" s="29" t="n">
        <f aca="false">D36</f>
        <v>27.4899999999907</v>
      </c>
    </row>
    <row r="93" customFormat="false" ht="15" hidden="false" customHeight="false" outlineLevel="0" collapsed="false">
      <c r="A93" s="86" t="s">
        <v>583</v>
      </c>
      <c r="B93" s="29" t="n">
        <f aca="false">D37+D38+D39+D40+D41+D42</f>
        <v>8635.96999999999</v>
      </c>
    </row>
    <row r="94" customFormat="false" ht="15" hidden="false" customHeight="false" outlineLevel="0" collapsed="false">
      <c r="A94" s="86" t="s">
        <v>584</v>
      </c>
      <c r="B94" s="29" t="n">
        <f aca="false">D43</f>
        <v>-676.531018504</v>
      </c>
    </row>
    <row r="95" customFormat="false" ht="15" hidden="false" customHeight="false" outlineLevel="0" collapsed="false">
      <c r="A95" s="86" t="s">
        <v>402</v>
      </c>
      <c r="B95" s="29" t="n">
        <f aca="false">D44</f>
        <v>0</v>
      </c>
    </row>
    <row r="96" customFormat="false" ht="15" hidden="false" customHeight="false" outlineLevel="0" collapsed="false">
      <c r="A96" s="5" t="s">
        <v>585</v>
      </c>
      <c r="B96" s="29" t="n">
        <f aca="false">B46</f>
        <v>-600149.229012254</v>
      </c>
    </row>
    <row r="97" customFormat="false" ht="15" hidden="false" customHeight="false" outlineLevel="0" collapsed="false">
      <c r="A97" s="5" t="s">
        <v>586</v>
      </c>
      <c r="B97" s="36" t="n">
        <f aca="false">ROUND(SUM(B81:B95)-B96,0)</f>
        <v>0</v>
      </c>
    </row>
  </sheetData>
  <mergeCells count="1">
    <mergeCell ref="A78:J7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7" min="3" style="0" width="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587</v>
      </c>
    </row>
    <row r="3" customFormat="false" ht="15" hidden="false" customHeight="false" outlineLevel="0" collapsed="false">
      <c r="A3" s="25" t="s">
        <v>588</v>
      </c>
    </row>
    <row r="5" customFormat="false" ht="15" hidden="false" customHeight="false" outlineLevel="0" collapsed="false">
      <c r="A5" s="0" t="s">
        <v>589</v>
      </c>
      <c r="B5" s="83" t="s">
        <v>590</v>
      </c>
    </row>
    <row r="6" customFormat="false" ht="15" hidden="false" customHeight="false" outlineLevel="0" collapsed="false">
      <c r="A6" s="0" t="s">
        <v>591</v>
      </c>
      <c r="B6" s="87" t="str">
        <f aca="false">Assumptions!$C$12</f>
        <v>Base</v>
      </c>
    </row>
    <row r="8" customFormat="false" ht="23.85" hidden="false" customHeight="false" outlineLevel="0" collapsed="false">
      <c r="A8" s="26" t="s">
        <v>592</v>
      </c>
      <c r="B8" s="27" t="s">
        <v>593</v>
      </c>
      <c r="C8" s="27" t="s">
        <v>594</v>
      </c>
      <c r="D8" s="27" t="s">
        <v>595</v>
      </c>
      <c r="E8" s="27" t="s">
        <v>596</v>
      </c>
      <c r="F8" s="27" t="s">
        <v>597</v>
      </c>
      <c r="G8" s="27" t="s">
        <v>598</v>
      </c>
    </row>
    <row r="9" customFormat="false" ht="15" hidden="false" customHeight="false" outlineLevel="0" collapsed="false">
      <c r="A9" s="0" t="s">
        <v>599</v>
      </c>
      <c r="B9" s="63" t="s">
        <v>600</v>
      </c>
      <c r="C9" s="88" t="n">
        <v>6888751.60711238</v>
      </c>
      <c r="D9" s="88" t="n">
        <v>6405803.87223592</v>
      </c>
      <c r="E9" s="88" t="n">
        <v>7086543.11713243</v>
      </c>
      <c r="F9" s="89" t="n">
        <f aca="false">ARR_Bridge!$C$61</f>
        <v>6888751.60711238</v>
      </c>
      <c r="G9" s="29" t="n">
        <f aca="false">ROUND(F9-INDEX(C9:E9,Assumptions!$C$11),0)</f>
        <v>0</v>
      </c>
    </row>
    <row r="10" customFormat="false" ht="15" hidden="false" customHeight="false" outlineLevel="0" collapsed="false">
      <c r="A10" s="0" t="s">
        <v>601</v>
      </c>
      <c r="B10" s="63" t="s">
        <v>600</v>
      </c>
      <c r="C10" s="88" t="n">
        <v>8520741.71198385</v>
      </c>
      <c r="D10" s="88" t="n">
        <v>6380841.84206418</v>
      </c>
      <c r="E10" s="88" t="n">
        <v>9548382.96852594</v>
      </c>
      <c r="F10" s="89" t="n">
        <f aca="false">ARR_Bridge!$D$61</f>
        <v>8520741.71198385</v>
      </c>
      <c r="G10" s="29" t="n">
        <f aca="false">ROUND(F10-INDEX(C10:E10,Assumptions!$C$11),0)</f>
        <v>0</v>
      </c>
    </row>
    <row r="11" customFormat="false" ht="15" hidden="false" customHeight="false" outlineLevel="0" collapsed="false">
      <c r="A11" s="0" t="s">
        <v>602</v>
      </c>
      <c r="B11" s="63" t="s">
        <v>600</v>
      </c>
      <c r="C11" s="88" t="n">
        <v>6425973.04162272</v>
      </c>
      <c r="D11" s="88" t="n">
        <v>6323280.992004</v>
      </c>
      <c r="E11" s="88" t="n">
        <v>6468204.39026966</v>
      </c>
      <c r="F11" s="89" t="n">
        <f aca="false">PL!$C$14</f>
        <v>6425973.04162272</v>
      </c>
      <c r="G11" s="29" t="n">
        <f aca="false">ROUND(F11-INDEX(C11:E11,Assumptions!$C$11),0)</f>
        <v>0</v>
      </c>
    </row>
    <row r="12" customFormat="false" ht="15" hidden="false" customHeight="false" outlineLevel="0" collapsed="false">
      <c r="A12" s="0" t="s">
        <v>603</v>
      </c>
      <c r="B12" s="63" t="s">
        <v>600</v>
      </c>
      <c r="C12" s="88" t="n">
        <v>8028569.48845875</v>
      </c>
      <c r="D12" s="88" t="n">
        <v>6478959.39345445</v>
      </c>
      <c r="E12" s="88" t="n">
        <v>8736030.28133204</v>
      </c>
      <c r="F12" s="89" t="n">
        <f aca="false">PL!$D$14</f>
        <v>8028569.48845875</v>
      </c>
      <c r="G12" s="29" t="n">
        <f aca="false">ROUND(F12-INDEX(C12:E12,Assumptions!$C$11),0)</f>
        <v>0</v>
      </c>
    </row>
    <row r="13" customFormat="false" ht="15" hidden="false" customHeight="false" outlineLevel="0" collapsed="false">
      <c r="A13" s="0" t="s">
        <v>604</v>
      </c>
      <c r="B13" s="63" t="s">
        <v>605</v>
      </c>
      <c r="C13" s="90" t="n">
        <v>0.7910332719048</v>
      </c>
      <c r="D13" s="90" t="n">
        <v>0.782744077217307</v>
      </c>
      <c r="E13" s="90" t="n">
        <v>0.802686332259581</v>
      </c>
      <c r="F13" s="91" t="n">
        <f aca="false">PL!$D$23</f>
        <v>0.7910332719048</v>
      </c>
      <c r="G13" s="92" t="n">
        <f aca="false">ROUND(F13-INDEX(C13:E13,Assumptions!$C$11),4)</f>
        <v>0</v>
      </c>
    </row>
    <row r="14" customFormat="false" ht="15" hidden="false" customHeight="false" outlineLevel="0" collapsed="false">
      <c r="A14" s="0" t="s">
        <v>606</v>
      </c>
      <c r="B14" s="63" t="s">
        <v>600</v>
      </c>
      <c r="C14" s="88" t="n">
        <v>-670368.382614836</v>
      </c>
      <c r="D14" s="88" t="n">
        <v>-774586.133660319</v>
      </c>
      <c r="E14" s="88" t="n">
        <v>-630591.619143867</v>
      </c>
      <c r="F14" s="89" t="n">
        <f aca="false">PL!$C$41</f>
        <v>-670368.382614836</v>
      </c>
      <c r="G14" s="29" t="n">
        <f aca="false">ROUND(F14-INDEX(C14:E14,Assumptions!$C$11),0)</f>
        <v>0</v>
      </c>
    </row>
    <row r="15" customFormat="false" ht="15" hidden="false" customHeight="false" outlineLevel="0" collapsed="false">
      <c r="A15" s="0" t="s">
        <v>607</v>
      </c>
      <c r="B15" s="63" t="s">
        <v>600</v>
      </c>
      <c r="C15" s="88" t="n">
        <v>-139041.390469954</v>
      </c>
      <c r="D15" s="88" t="n">
        <v>-452305.701004255</v>
      </c>
      <c r="E15" s="88" t="n">
        <v>380478.648932689</v>
      </c>
      <c r="F15" s="89" t="n">
        <f aca="false">PL!$D$41</f>
        <v>-139041.390469954</v>
      </c>
      <c r="G15" s="29" t="n">
        <f aca="false">ROUND(F15-INDEX(C15:E15,Assumptions!$C$11),0)</f>
        <v>0</v>
      </c>
    </row>
    <row r="16" customFormat="false" ht="15" hidden="false" customHeight="false" outlineLevel="0" collapsed="false">
      <c r="A16" s="0" t="s">
        <v>608</v>
      </c>
      <c r="B16" s="63" t="s">
        <v>605</v>
      </c>
      <c r="C16" s="90" t="n">
        <v>-0.0173183268413918</v>
      </c>
      <c r="D16" s="90" t="n">
        <v>-0.0698114733457366</v>
      </c>
      <c r="E16" s="90" t="n">
        <v>0.0435528079321944</v>
      </c>
      <c r="F16" s="91" t="n">
        <f aca="false">PL!$D$42</f>
        <v>-0.0173183268413918</v>
      </c>
      <c r="G16" s="92" t="n">
        <f aca="false">ROUND(F16-INDEX(C16:E16,Assumptions!$C$11),4)</f>
        <v>0</v>
      </c>
    </row>
    <row r="17" customFormat="false" ht="15" hidden="false" customHeight="false" outlineLevel="0" collapsed="false">
      <c r="A17" s="0" t="s">
        <v>609</v>
      </c>
      <c r="B17" s="63" t="s">
        <v>600</v>
      </c>
      <c r="C17" s="88" t="n">
        <v>-984211.489788988</v>
      </c>
      <c r="D17" s="88" t="n">
        <v>-1273012.94372335</v>
      </c>
      <c r="E17" s="88" t="n">
        <v>-465255.31580044</v>
      </c>
      <c r="F17" s="89" t="n">
        <f aca="false">PL!$D$50</f>
        <v>-984211.489788988</v>
      </c>
      <c r="G17" s="29" t="n">
        <f aca="false">ROUND(F17-INDEX(C17:E17,Assumptions!$C$11),0)</f>
        <v>0</v>
      </c>
    </row>
    <row r="18" customFormat="false" ht="15" hidden="false" customHeight="false" outlineLevel="0" collapsed="false">
      <c r="A18" s="0" t="s">
        <v>245</v>
      </c>
      <c r="B18" s="63" t="s">
        <v>605</v>
      </c>
      <c r="C18" s="90" t="n">
        <v>0.948492162968659</v>
      </c>
      <c r="D18" s="90" t="n">
        <v>0.802750996537972</v>
      </c>
      <c r="E18" s="90" t="n">
        <v>1.00804300580007</v>
      </c>
      <c r="F18" s="91" t="n">
        <f aca="false">ARR_Bridge!$D$66</f>
        <v>0.948492162968659</v>
      </c>
      <c r="G18" s="92" t="n">
        <f aca="false">ROUND(F18-INDEX(C18:E18,Assumptions!$C$11),4)</f>
        <v>0</v>
      </c>
    </row>
    <row r="19" customFormat="false" ht="15" hidden="false" customHeight="false" outlineLevel="0" collapsed="false">
      <c r="A19" s="0" t="s">
        <v>610</v>
      </c>
      <c r="B19" s="63" t="s">
        <v>605</v>
      </c>
      <c r="C19" s="90" t="n">
        <v>0.803017500054859</v>
      </c>
      <c r="D19" s="90" t="n">
        <v>0.738503224439347</v>
      </c>
      <c r="E19" s="90" t="n">
        <v>0.830869909849084</v>
      </c>
      <c r="F19" s="91" t="n">
        <f aca="false">ARR_Bridge!$D$67</f>
        <v>0.803017500054859</v>
      </c>
      <c r="G19" s="92" t="n">
        <f aca="false">ROUND(F19-INDEX(C19:E19,Assumptions!$C$11),4)</f>
        <v>0</v>
      </c>
    </row>
    <row r="20" customFormat="false" ht="15" hidden="false" customHeight="false" outlineLevel="0" collapsed="false">
      <c r="A20" s="0" t="s">
        <v>611</v>
      </c>
      <c r="B20" s="63" t="s">
        <v>600</v>
      </c>
      <c r="C20" s="88" t="n">
        <v>987133.000008313</v>
      </c>
      <c r="D20" s="88" t="n">
        <v>1500703.96184467</v>
      </c>
      <c r="E20" s="88" t="n">
        <v>326541.114211308</v>
      </c>
      <c r="F20" s="89" t="n">
        <f aca="false">Unit_Economics!$D$29</f>
        <v>987133.000008313</v>
      </c>
      <c r="G20" s="29" t="n">
        <f aca="false">ROUND(F20-INDEX(C20:E20,Assumptions!$C$11),0)</f>
        <v>0</v>
      </c>
    </row>
    <row r="21" customFormat="false" ht="15" hidden="false" customHeight="false" outlineLevel="0" collapsed="false">
      <c r="A21" s="0" t="s">
        <v>612</v>
      </c>
      <c r="B21" s="63" t="s">
        <v>613</v>
      </c>
      <c r="C21" s="93" t="n">
        <v>0.604864574277585</v>
      </c>
      <c r="D21" s="93" t="n">
        <v>0</v>
      </c>
      <c r="E21" s="93" t="n">
        <v>0.132641087122898</v>
      </c>
      <c r="F21" s="94" t="n">
        <f aca="false">Unit_Economics!$D$33</f>
        <v>0.604864574277585</v>
      </c>
      <c r="G21" s="92" t="n">
        <f aca="false">ROUND(F21-INDEX(C21:E21,Assumptions!$C$11),4)</f>
        <v>0</v>
      </c>
    </row>
    <row r="22" customFormat="false" ht="15" hidden="false" customHeight="false" outlineLevel="0" collapsed="false">
      <c r="A22" s="0" t="s">
        <v>614</v>
      </c>
      <c r="B22" s="63" t="s">
        <v>605</v>
      </c>
      <c r="C22" s="90" t="n">
        <v>0.219588183648332</v>
      </c>
      <c r="D22" s="90" t="n">
        <v>-0.0737082567424197</v>
      </c>
      <c r="E22" s="90" t="n">
        <v>0.390949248016185</v>
      </c>
      <c r="F22" s="91" t="n">
        <f aca="false">Unit_Economics!$D$38</f>
        <v>0.219588183648332</v>
      </c>
      <c r="G22" s="92" t="n">
        <f aca="false">ROUND(F22-INDEX(C22:E22,Assumptions!$C$11),4)</f>
        <v>0</v>
      </c>
    </row>
    <row r="23" customFormat="false" ht="15" hidden="false" customHeight="false" outlineLevel="0" collapsed="false">
      <c r="A23" s="0" t="s">
        <v>615</v>
      </c>
      <c r="B23" s="63" t="s">
        <v>600</v>
      </c>
      <c r="C23" s="88" t="n">
        <v>3695090.48338292</v>
      </c>
      <c r="D23" s="88" t="n">
        <v>3303090.5864638</v>
      </c>
      <c r="E23" s="88" t="n">
        <v>3777443.54834306</v>
      </c>
      <c r="F23" s="89" t="n">
        <f aca="false">BS!$C$9</f>
        <v>3695090.48338292</v>
      </c>
      <c r="G23" s="29" t="n">
        <f aca="false">ROUND(F23-INDEX(C23:E23,Assumptions!$C$11),0)</f>
        <v>0</v>
      </c>
    </row>
    <row r="24" customFormat="false" ht="15" hidden="false" customHeight="false" outlineLevel="0" collapsed="false">
      <c r="A24" s="0" t="s">
        <v>616</v>
      </c>
      <c r="B24" s="63" t="s">
        <v>600</v>
      </c>
      <c r="C24" s="88" t="n">
        <v>2041290.76337461</v>
      </c>
      <c r="D24" s="88" t="n">
        <v>1135719.90461913</v>
      </c>
      <c r="E24" s="88" t="n">
        <v>2784235.71413175</v>
      </c>
      <c r="F24" s="89" t="n">
        <f aca="false">BS!$D$9</f>
        <v>2041290.76337461</v>
      </c>
      <c r="G24" s="29" t="n">
        <f aca="false">ROUND(F24-INDEX(C24:E24,Assumptions!$C$11),0)</f>
        <v>0</v>
      </c>
    </row>
    <row r="25" customFormat="false" ht="15" hidden="false" customHeight="false" outlineLevel="0" collapsed="false">
      <c r="A25" s="0" t="s">
        <v>617</v>
      </c>
      <c r="B25" s="63" t="s">
        <v>600</v>
      </c>
      <c r="C25" s="88" t="n">
        <v>2041290.76337461</v>
      </c>
      <c r="D25" s="88" t="n">
        <v>1135719.90461913</v>
      </c>
      <c r="E25" s="88" t="n">
        <v>2784235.71413175</v>
      </c>
      <c r="F25" s="89" t="n">
        <f aca="false">MIN(BS!M9:AB9)</f>
        <v>2041290.76337461</v>
      </c>
      <c r="G25" s="29" t="n">
        <f aca="false">ROUND(F25-INDEX(C25:E25,Assumptions!$C$11),0)</f>
        <v>0</v>
      </c>
    </row>
    <row r="26" customFormat="false" ht="15" hidden="false" customHeight="false" outlineLevel="0" collapsed="false">
      <c r="A26" s="0" t="s">
        <v>618</v>
      </c>
      <c r="B26" s="63" t="s">
        <v>619</v>
      </c>
      <c r="C26" s="95" t="n">
        <v>46752</v>
      </c>
      <c r="D26" s="95" t="n">
        <v>46752</v>
      </c>
      <c r="E26" s="95" t="n">
        <v>46752</v>
      </c>
      <c r="F26" s="96" t="n">
        <f aca="false">INDEX(Assumptions!M$188:AB$188,MATCH(F25,BS!M9:AB9,0))</f>
        <v>46752</v>
      </c>
      <c r="G26" s="29" t="n">
        <f aca="false">IF(F26=INDEX(C26:E26,Assumptions!$C$11),0,1)</f>
        <v>0</v>
      </c>
    </row>
    <row r="27" customFormat="false" ht="15" hidden="false" customHeight="false" outlineLevel="0" collapsed="false">
      <c r="A27" s="0" t="s">
        <v>620</v>
      </c>
      <c r="B27" s="63" t="s">
        <v>600</v>
      </c>
      <c r="C27" s="88" t="n">
        <v>1041290.76337461</v>
      </c>
      <c r="D27" s="88" t="n">
        <v>135719.904619127</v>
      </c>
      <c r="E27" s="88" t="n">
        <v>1784235.71413175</v>
      </c>
      <c r="F27" s="89" t="n">
        <f aca="false">F25-Assumptions!$C$13</f>
        <v>1041290.76337461</v>
      </c>
      <c r="G27" s="29" t="n">
        <f aca="false">ROUND(F27-INDEX(C27:E27,Assumptions!$C$11),0)</f>
        <v>0</v>
      </c>
    </row>
    <row r="28" customFormat="false" ht="15" hidden="false" customHeight="false" outlineLevel="0" collapsed="false">
      <c r="A28" s="0" t="s">
        <v>621</v>
      </c>
      <c r="B28" s="63" t="s">
        <v>622</v>
      </c>
      <c r="C28" s="97" t="n">
        <v>102.330879243233</v>
      </c>
      <c r="D28" s="97" t="n">
        <v>81.6319171606144</v>
      </c>
      <c r="E28" s="97" t="n">
        <v>102.330879243233</v>
      </c>
      <c r="F28" s="98" t="n">
        <f aca="false">People!$D$24</f>
        <v>102.330879243233</v>
      </c>
      <c r="G28" s="92" t="n">
        <f aca="false">ROUND(F28-INDEX(C28:E28,Assumptions!$C$11),4)</f>
        <v>0</v>
      </c>
    </row>
    <row r="30" customFormat="false" ht="15" hidden="false" customHeight="false" outlineLevel="0" collapsed="false">
      <c r="A30" s="5" t="s">
        <v>623</v>
      </c>
      <c r="G30" s="83" t="n">
        <f aca="false">SUMPRODUCT(ABS(G9:G29))</f>
        <v>0</v>
      </c>
    </row>
    <row r="32" customFormat="false" ht="15" hidden="false" customHeight="false" outlineLevel="0" collapsed="false">
      <c r="A32" s="22" t="s">
        <v>624</v>
      </c>
      <c r="B32" s="23"/>
      <c r="C32" s="23"/>
      <c r="D32" s="23"/>
      <c r="E32" s="23"/>
      <c r="F32" s="23"/>
      <c r="G32" s="23"/>
    </row>
    <row r="33" customFormat="false" ht="15" hidden="false" customHeight="false" outlineLevel="0" collapsed="false">
      <c r="A33" s="0" t="str">
        <f aca="false">Assumptions!A166</f>
        <v>Essentials: new customers (x run-rate)</v>
      </c>
      <c r="B33" s="63" t="str">
        <f aca="false">Assumptions!B166</f>
        <v>x</v>
      </c>
      <c r="C33" s="99" t="n">
        <f aca="false">Assumptions!C166</f>
        <v>1</v>
      </c>
      <c r="D33" s="99" t="n">
        <f aca="false">Assumptions!D166</f>
        <v>0.7</v>
      </c>
      <c r="E33" s="99" t="n">
        <f aca="false">Assumptions!E166</f>
        <v>1.15</v>
      </c>
      <c r="F33" s="100" t="n">
        <f aca="false">Assumptions!F166</f>
        <v>1</v>
      </c>
    </row>
    <row r="34" customFormat="false" ht="15" hidden="false" customHeight="false" outlineLevel="0" collapsed="false">
      <c r="A34" s="0" t="str">
        <f aca="false">Assumptions!A167</f>
        <v>Professional: new customers (x run-rate)</v>
      </c>
      <c r="B34" s="63" t="str">
        <f aca="false">Assumptions!B167</f>
        <v>x</v>
      </c>
      <c r="C34" s="99" t="n">
        <f aca="false">Assumptions!C167</f>
        <v>1</v>
      </c>
      <c r="D34" s="99" t="n">
        <f aca="false">Assumptions!D167</f>
        <v>0.65</v>
      </c>
      <c r="E34" s="99" t="n">
        <f aca="false">Assumptions!E167</f>
        <v>1.15</v>
      </c>
      <c r="F34" s="100" t="n">
        <f aca="false">Assumptions!F167</f>
        <v>1</v>
      </c>
    </row>
    <row r="35" customFormat="false" ht="15" hidden="false" customHeight="false" outlineLevel="0" collapsed="false">
      <c r="A35" s="0" t="str">
        <f aca="false">Assumptions!A168</f>
        <v>Enterprise pipeline: start delay</v>
      </c>
      <c r="B35" s="63" t="str">
        <f aca="false">Assumptions!B168</f>
        <v>months</v>
      </c>
      <c r="C35" s="101" t="n">
        <f aca="false">Assumptions!C168</f>
        <v>0</v>
      </c>
      <c r="D35" s="101" t="n">
        <f aca="false">Assumptions!D168</f>
        <v>2</v>
      </c>
      <c r="E35" s="101" t="n">
        <f aca="false">Assumptions!E168</f>
        <v>0</v>
      </c>
      <c r="F35" s="102" t="n">
        <f aca="false">Assumptions!F168</f>
        <v>0</v>
      </c>
    </row>
    <row r="36" customFormat="false" ht="15" hidden="false" customHeight="false" outlineLevel="0" collapsed="false">
      <c r="A36" s="0" t="str">
        <f aca="false">Assumptions!A169</f>
        <v>Essentials: churn and contraction (x YTD rates)</v>
      </c>
      <c r="B36" s="63" t="str">
        <f aca="false">Assumptions!B169</f>
        <v>x</v>
      </c>
      <c r="C36" s="99" t="n">
        <f aca="false">Assumptions!C169</f>
        <v>1</v>
      </c>
      <c r="D36" s="99" t="n">
        <f aca="false">Assumptions!D169</f>
        <v>1.3</v>
      </c>
      <c r="E36" s="99" t="n">
        <f aca="false">Assumptions!E169</f>
        <v>0.85</v>
      </c>
      <c r="F36" s="100" t="n">
        <f aca="false">Assumptions!F169</f>
        <v>1</v>
      </c>
    </row>
    <row r="37" customFormat="false" ht="15" hidden="false" customHeight="false" outlineLevel="0" collapsed="false">
      <c r="A37" s="0" t="str">
        <f aca="false">Assumptions!A170</f>
        <v>Professional: churn and downsell at renewal (x YTD rates)</v>
      </c>
      <c r="B37" s="63" t="str">
        <f aca="false">Assumptions!B170</f>
        <v>x</v>
      </c>
      <c r="C37" s="99" t="n">
        <f aca="false">Assumptions!C170</f>
        <v>1</v>
      </c>
      <c r="D37" s="99" t="n">
        <f aca="false">Assumptions!D170</f>
        <v>1.35</v>
      </c>
      <c r="E37" s="99" t="n">
        <f aca="false">Assumptions!E170</f>
        <v>0.85</v>
      </c>
      <c r="F37" s="100" t="n">
        <f aca="false">Assumptions!F170</f>
        <v>1</v>
      </c>
    </row>
    <row r="38" customFormat="false" ht="15" hidden="false" customHeight="false" outlineLevel="0" collapsed="false">
      <c r="A38" s="0" t="str">
        <f aca="false">Assumptions!A171</f>
        <v>Expansion and location growth (x base rates)</v>
      </c>
      <c r="B38" s="63" t="str">
        <f aca="false">Assumptions!B171</f>
        <v>x</v>
      </c>
      <c r="C38" s="99" t="n">
        <f aca="false">Assumptions!C171</f>
        <v>1</v>
      </c>
      <c r="D38" s="99" t="n">
        <f aca="false">Assumptions!D171</f>
        <v>0.7</v>
      </c>
      <c r="E38" s="99" t="n">
        <f aca="false">Assumptions!E171</f>
        <v>1.15</v>
      </c>
      <c r="F38" s="100" t="n">
        <f aca="false">Assumptions!F171</f>
        <v>1</v>
      </c>
    </row>
    <row r="39" customFormat="false" ht="15" hidden="false" customHeight="false" outlineLevel="0" collapsed="false">
      <c r="A39" s="0" t="str">
        <f aca="false">Assumptions!A172</f>
        <v>List price increase January 2027 (Essentials all, Professional at renewal, new customers)</v>
      </c>
      <c r="B39" s="63" t="n">
        <f aca="false">Assumptions!B172</f>
        <v>0</v>
      </c>
      <c r="C39" s="67" t="n">
        <f aca="false">Assumptions!C172</f>
        <v>0.05</v>
      </c>
      <c r="D39" s="67" t="n">
        <f aca="false">Assumptions!D172</f>
        <v>0</v>
      </c>
      <c r="E39" s="67" t="n">
        <f aca="false">Assumptions!E172</f>
        <v>0.06</v>
      </c>
      <c r="F39" s="91" t="n">
        <f aca="false">Assumptions!F172</f>
        <v>0.05</v>
      </c>
    </row>
    <row r="40" customFormat="false" ht="15" hidden="false" customHeight="false" outlineLevel="0" collapsed="false">
      <c r="A40" s="0" t="str">
        <f aca="false">Assumptions!A173</f>
        <v>Enterprise indexation at renewal, 2027</v>
      </c>
      <c r="B40" s="63" t="n">
        <f aca="false">Assumptions!B173</f>
        <v>0</v>
      </c>
      <c r="C40" s="67" t="n">
        <f aca="false">Assumptions!C173</f>
        <v>0.03</v>
      </c>
      <c r="D40" s="67" t="n">
        <f aca="false">Assumptions!D173</f>
        <v>0</v>
      </c>
      <c r="E40" s="67" t="n">
        <f aca="false">Assumptions!E173</f>
        <v>0.04</v>
      </c>
      <c r="F40" s="91" t="n">
        <f aca="false">Assumptions!F173</f>
        <v>0.03</v>
      </c>
    </row>
    <row r="41" customFormat="false" ht="15" hidden="false" customHeight="false" outlineLevel="0" collapsed="false">
      <c r="A41" s="0" t="str">
        <f aca="false">Assumptions!A174</f>
        <v>Enterprise accounts not yet identified: new accounts a month</v>
      </c>
      <c r="B41" s="63" t="str">
        <f aca="false">Assumptions!B174</f>
        <v>accounts</v>
      </c>
      <c r="C41" s="99" t="n">
        <f aca="false">Assumptions!C174</f>
        <v>0.5</v>
      </c>
      <c r="D41" s="99" t="n">
        <f aca="false">Assumptions!D174</f>
        <v>0.2</v>
      </c>
      <c r="E41" s="99" t="n">
        <f aca="false">Assumptions!E174</f>
        <v>0.7</v>
      </c>
      <c r="F41" s="100" t="n">
        <f aca="false">Assumptions!F174</f>
        <v>0.5</v>
      </c>
    </row>
    <row r="42" customFormat="false" ht="15" hidden="false" customHeight="false" outlineLevel="0" collapsed="false">
      <c r="A42" s="0" t="str">
        <f aca="false">Assumptions!A175</f>
        <v>Pay review January 2027</v>
      </c>
      <c r="B42" s="63" t="n">
        <f aca="false">Assumptions!B175</f>
        <v>0</v>
      </c>
      <c r="C42" s="67" t="n">
        <f aca="false">Assumptions!C175</f>
        <v>0.035</v>
      </c>
      <c r="D42" s="67" t="n">
        <f aca="false">Assumptions!D175</f>
        <v>0.02</v>
      </c>
      <c r="E42" s="67" t="n">
        <f aca="false">Assumptions!E175</f>
        <v>0.04</v>
      </c>
      <c r="F42" s="91" t="n">
        <f aca="false">Assumptions!F175</f>
        <v>0.035</v>
      </c>
    </row>
    <row r="43" customFormat="false" ht="15" hidden="false" customHeight="false" outlineLevel="0" collapsed="false">
      <c r="A43" s="0" t="str">
        <f aca="false">Assumptions!A176</f>
        <v>Planned hires made (share of the hiring plan on People)</v>
      </c>
      <c r="B43" s="63" t="str">
        <f aca="false">Assumptions!B176</f>
        <v>share</v>
      </c>
      <c r="C43" s="67" t="n">
        <f aca="false">Assumptions!C176</f>
        <v>1</v>
      </c>
      <c r="D43" s="67" t="n">
        <f aca="false">Assumptions!D176</f>
        <v>0.5</v>
      </c>
      <c r="E43" s="67" t="n">
        <f aca="false">Assumptions!E176</f>
        <v>1</v>
      </c>
      <c r="F43" s="91" t="n">
        <f aca="false">Assumptions!F176</f>
        <v>1</v>
      </c>
    </row>
    <row r="44" customFormat="false" ht="15" hidden="false" customHeight="false" outlineLevel="0" collapsed="false">
      <c r="A44" s="0" t="str">
        <f aca="false">Assumptions!A177</f>
        <v>Leavers replaced (share)</v>
      </c>
      <c r="B44" s="63" t="str">
        <f aca="false">Assumptions!B177</f>
        <v>share</v>
      </c>
      <c r="C44" s="67" t="n">
        <f aca="false">Assumptions!C177</f>
        <v>1</v>
      </c>
      <c r="D44" s="67" t="n">
        <f aca="false">Assumptions!D177</f>
        <v>0.5</v>
      </c>
      <c r="E44" s="67" t="n">
        <f aca="false">Assumptions!E177</f>
        <v>1</v>
      </c>
      <c r="F44" s="91" t="n">
        <f aca="false">Assumptions!F177</f>
        <v>1</v>
      </c>
    </row>
    <row r="45" customFormat="false" ht="15" hidden="false" customHeight="false" outlineLevel="0" collapsed="false">
      <c r="A45" s="0" t="str">
        <f aca="false">Assumptions!A178</f>
        <v>Attrition (x base rates)</v>
      </c>
      <c r="B45" s="63" t="str">
        <f aca="false">Assumptions!B178</f>
        <v>x</v>
      </c>
      <c r="C45" s="99" t="n">
        <f aca="false">Assumptions!C178</f>
        <v>1</v>
      </c>
      <c r="D45" s="99" t="n">
        <f aca="false">Assumptions!D178</f>
        <v>0.7</v>
      </c>
      <c r="E45" s="99" t="n">
        <f aca="false">Assumptions!E178</f>
        <v>1</v>
      </c>
      <c r="F45" s="100" t="n">
        <f aca="false">Assumptions!F178</f>
        <v>1</v>
      </c>
    </row>
    <row r="46" customFormat="false" ht="15" hidden="false" customHeight="false" outlineLevel="0" collapsed="false">
      <c r="A46" s="0" t="str">
        <f aca="false">Assumptions!A179</f>
        <v>Headcount reduction (management response)</v>
      </c>
      <c r="B46" s="63" t="str">
        <f aca="false">Assumptions!B179</f>
        <v>FTE</v>
      </c>
      <c r="C46" s="69" t="n">
        <f aca="false">Assumptions!C179</f>
        <v>0</v>
      </c>
      <c r="D46" s="69" t="n">
        <f aca="false">Assumptions!D179</f>
        <v>8</v>
      </c>
      <c r="E46" s="69" t="n">
        <f aca="false">Assumptions!E179</f>
        <v>0</v>
      </c>
      <c r="F46" s="98" t="n">
        <f aca="false">Assumptions!F179</f>
        <v>0</v>
      </c>
    </row>
    <row r="47" customFormat="false" ht="15" hidden="false" customHeight="false" outlineLevel="0" collapsed="false">
      <c r="A47" s="0" t="str">
        <f aca="false">Assumptions!A180</f>
        <v>Headcount reduction: first month without the leavers</v>
      </c>
      <c r="B47" s="63" t="str">
        <f aca="false">Assumptions!B180</f>
        <v>month</v>
      </c>
      <c r="C47" s="103" t="n">
        <f aca="false">Assumptions!C180</f>
        <v>46507</v>
      </c>
      <c r="D47" s="103" t="n">
        <f aca="false">Assumptions!D180</f>
        <v>46507</v>
      </c>
      <c r="E47" s="103" t="n">
        <f aca="false">Assumptions!E180</f>
        <v>46507</v>
      </c>
      <c r="F47" s="96" t="n">
        <f aca="false">Assumptions!F180</f>
        <v>46507</v>
      </c>
    </row>
    <row r="48" customFormat="false" ht="15" hidden="false" customHeight="false" outlineLevel="0" collapsed="false">
      <c r="A48" s="0" t="str">
        <f aca="false">Assumptions!A181</f>
        <v>Marketing programmes FY2027 (x FY2026 run-rate)</v>
      </c>
      <c r="B48" s="63" t="str">
        <f aca="false">Assumptions!B181</f>
        <v>x</v>
      </c>
      <c r="C48" s="99" t="n">
        <f aca="false">Assumptions!C181</f>
        <v>1</v>
      </c>
      <c r="D48" s="99" t="n">
        <f aca="false">Assumptions!D181</f>
        <v>0.8</v>
      </c>
      <c r="E48" s="99" t="n">
        <f aca="false">Assumptions!E181</f>
        <v>1.1</v>
      </c>
      <c r="F48" s="100" t="n">
        <f aca="false">Assumptions!F181</f>
        <v>1</v>
      </c>
    </row>
    <row r="49" customFormat="false" ht="15" hidden="false" customHeight="false" outlineLevel="0" collapsed="false">
      <c r="A49" s="0" t="str">
        <f aca="false">Assumptions!A182</f>
        <v>Professional and Enterprise: extra days to collect</v>
      </c>
      <c r="B49" s="63" t="str">
        <f aca="false">Assumptions!B182</f>
        <v>days</v>
      </c>
      <c r="C49" s="101" t="n">
        <f aca="false">Assumptions!C182</f>
        <v>0</v>
      </c>
      <c r="D49" s="101" t="n">
        <f aca="false">Assumptions!D182</f>
        <v>15</v>
      </c>
      <c r="E49" s="101" t="n">
        <f aca="false">Assumptions!E182</f>
        <v>0</v>
      </c>
      <c r="F49" s="102" t="n">
        <f aca="false">Assumptions!F182</f>
        <v>0</v>
      </c>
    </row>
    <row r="50" customFormat="false" ht="15" hidden="false" customHeight="false" outlineLevel="0" collapsed="false">
      <c r="A50" s="0" t="str">
        <f aca="false">Assumptions!A183</f>
        <v>Expected credit loss rate on receivables, forecast</v>
      </c>
      <c r="B50" s="63" t="n">
        <f aca="false">Assumptions!B183</f>
        <v>0</v>
      </c>
      <c r="C50" s="71" t="n">
        <f aca="false">Assumptions!C183</f>
        <v>0.005</v>
      </c>
      <c r="D50" s="71" t="n">
        <f aca="false">Assumptions!D183</f>
        <v>0.015</v>
      </c>
      <c r="E50" s="71" t="n">
        <f aca="false">Assumptions!E183</f>
        <v>0.004</v>
      </c>
      <c r="F50" s="104" t="n">
        <f aca="false">Assumptions!F183</f>
        <v>0.005</v>
      </c>
    </row>
    <row r="51" customFormat="false" ht="15" hidden="false" customHeight="false" outlineLevel="0" collapsed="false">
      <c r="A51" s="0" t="str">
        <f aca="false">Assumptions!A184</f>
        <v>Overdue Brandelo invoice: share collected</v>
      </c>
      <c r="B51" s="63" t="str">
        <f aca="false">Assumptions!B184</f>
        <v>share</v>
      </c>
      <c r="C51" s="67" t="n">
        <f aca="false">Assumptions!C184</f>
        <v>1</v>
      </c>
      <c r="D51" s="67" t="n">
        <f aca="false">Assumptions!D184</f>
        <v>0.5</v>
      </c>
      <c r="E51" s="67" t="n">
        <f aca="false">Assumptions!E184</f>
        <v>1</v>
      </c>
      <c r="F51" s="91" t="n">
        <f aca="false">Assumptions!F184</f>
        <v>1</v>
      </c>
    </row>
    <row r="52" customFormat="false" ht="15" hidden="false" customHeight="false" outlineLevel="0" collapsed="false">
      <c r="A52" s="0" t="str">
        <f aca="false">Assumptions!A185</f>
        <v>Overdue Brandelo invoice: month settled</v>
      </c>
      <c r="B52" s="63" t="str">
        <f aca="false">Assumptions!B185</f>
        <v>month</v>
      </c>
      <c r="C52" s="103" t="n">
        <f aca="false">Assumptions!C185</f>
        <v>46326</v>
      </c>
      <c r="D52" s="103" t="n">
        <f aca="false">Assumptions!D185</f>
        <v>46387</v>
      </c>
      <c r="E52" s="103" t="n">
        <f aca="false">Assumptions!E185</f>
        <v>46326</v>
      </c>
      <c r="F52" s="96" t="n">
        <f aca="false">Assumptions!F185</f>
        <v>46326</v>
      </c>
    </row>
    <row r="54" customFormat="false" ht="15" hidden="false" customHeight="false" outlineLevel="0" collapsed="false">
      <c r="A54" s="25" t="s">
        <v>625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8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1" outlineLevelCol="0"/>
  <cols>
    <col collapsed="false" customWidth="true" hidden="false" outlineLevel="0" max="1" min="1" style="0" width="66"/>
    <col collapsed="false" customWidth="true" hidden="false" outlineLevel="0" max="2" min="2" style="0" width="18"/>
    <col collapsed="false" customWidth="true" hidden="false" outlineLevel="0" max="7" min="3" style="0" width="13"/>
    <col collapsed="false" customWidth="true" hidden="false" outlineLevel="0" max="23" min="8" style="0" width="12"/>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626</v>
      </c>
    </row>
    <row r="3" customFormat="false" ht="15" hidden="false" customHeight="false" outlineLevel="0" collapsed="false">
      <c r="A3" s="25" t="s">
        <v>627</v>
      </c>
    </row>
    <row r="5" customFormat="false" ht="54" hidden="false" customHeight="true" outlineLevel="0" collapsed="false">
      <c r="A5" s="26" t="s">
        <v>325</v>
      </c>
      <c r="B5" s="27" t="s">
        <v>628</v>
      </c>
      <c r="C5" s="27" t="s">
        <v>629</v>
      </c>
      <c r="D5" s="27" t="s">
        <v>630</v>
      </c>
      <c r="E5" s="27" t="s">
        <v>631</v>
      </c>
      <c r="F5" s="27" t="s">
        <v>632</v>
      </c>
      <c r="G5" s="27" t="s">
        <v>633</v>
      </c>
      <c r="H5" s="27" t="s">
        <v>634</v>
      </c>
      <c r="I5" s="27" t="s">
        <v>635</v>
      </c>
      <c r="J5" s="27" t="s">
        <v>636</v>
      </c>
      <c r="K5" s="27" t="s">
        <v>637</v>
      </c>
      <c r="L5" s="27" t="s">
        <v>638</v>
      </c>
      <c r="M5" s="27" t="s">
        <v>639</v>
      </c>
      <c r="N5" s="27" t="s">
        <v>640</v>
      </c>
      <c r="O5" s="27" t="s">
        <v>641</v>
      </c>
      <c r="P5" s="27" t="s">
        <v>642</v>
      </c>
      <c r="Q5" s="27" t="s">
        <v>643</v>
      </c>
      <c r="R5" s="27" t="s">
        <v>644</v>
      </c>
      <c r="S5" s="27" t="s">
        <v>645</v>
      </c>
      <c r="T5" s="27" t="s">
        <v>646</v>
      </c>
      <c r="U5" s="27" t="s">
        <v>647</v>
      </c>
      <c r="V5" s="27" t="s">
        <v>648</v>
      </c>
      <c r="W5" s="27" t="s">
        <v>649</v>
      </c>
    </row>
    <row r="6" customFormat="false" ht="15" hidden="false" customHeight="false" outlineLevel="0" collapsed="false">
      <c r="A6" s="0" t="s">
        <v>650</v>
      </c>
      <c r="H6" s="105" t="n">
        <v>46283</v>
      </c>
      <c r="I6" s="106" t="n">
        <f aca="false">H6+7</f>
        <v>46290</v>
      </c>
      <c r="J6" s="106" t="n">
        <f aca="false">I6+7</f>
        <v>46297</v>
      </c>
      <c r="K6" s="106" t="n">
        <f aca="false">J6+7</f>
        <v>46304</v>
      </c>
      <c r="L6" s="106" t="n">
        <f aca="false">K6+7</f>
        <v>46311</v>
      </c>
      <c r="M6" s="106" t="n">
        <f aca="false">L6+7</f>
        <v>46318</v>
      </c>
      <c r="N6" s="106" t="n">
        <f aca="false">M6+7</f>
        <v>46325</v>
      </c>
      <c r="O6" s="106" t="n">
        <f aca="false">N6+7</f>
        <v>46332</v>
      </c>
      <c r="P6" s="106" t="n">
        <f aca="false">O6+7</f>
        <v>46339</v>
      </c>
      <c r="Q6" s="106" t="n">
        <f aca="false">P6+7</f>
        <v>46346</v>
      </c>
      <c r="R6" s="106" t="n">
        <f aca="false">Q6+7</f>
        <v>46353</v>
      </c>
      <c r="S6" s="106" t="n">
        <f aca="false">R6+7</f>
        <v>46360</v>
      </c>
      <c r="T6" s="106" t="n">
        <f aca="false">S6+7</f>
        <v>46367</v>
      </c>
    </row>
    <row r="7" customFormat="false" ht="15" hidden="false" customHeight="false" outlineLevel="0" collapsed="false">
      <c r="A7" s="0" t="s">
        <v>651</v>
      </c>
      <c r="B7" s="63" t="s">
        <v>652</v>
      </c>
      <c r="C7" s="107" t="n">
        <v>46276</v>
      </c>
      <c r="H7" s="107" t="n">
        <f aca="false">H6-6</f>
        <v>46277</v>
      </c>
      <c r="I7" s="107" t="n">
        <f aca="false">I6-6</f>
        <v>46284</v>
      </c>
      <c r="J7" s="107" t="n">
        <f aca="false">J6-6</f>
        <v>46291</v>
      </c>
      <c r="K7" s="107" t="n">
        <f aca="false">K6-6</f>
        <v>46298</v>
      </c>
      <c r="L7" s="107" t="n">
        <f aca="false">L6-6</f>
        <v>46305</v>
      </c>
      <c r="M7" s="107" t="n">
        <f aca="false">M6-6</f>
        <v>46312</v>
      </c>
      <c r="N7" s="107" t="n">
        <f aca="false">N6-6</f>
        <v>46319</v>
      </c>
      <c r="O7" s="107" t="n">
        <f aca="false">O6-6</f>
        <v>46326</v>
      </c>
      <c r="P7" s="107" t="n">
        <f aca="false">P6-6</f>
        <v>46333</v>
      </c>
      <c r="Q7" s="107" t="n">
        <f aca="false">Q6-6</f>
        <v>46340</v>
      </c>
      <c r="R7" s="107" t="n">
        <f aca="false">R6-6</f>
        <v>46347</v>
      </c>
      <c r="S7" s="107" t="n">
        <f aca="false">S6-6</f>
        <v>46354</v>
      </c>
      <c r="T7" s="107" t="n">
        <f aca="false">T6-6</f>
        <v>46361</v>
      </c>
    </row>
    <row r="8" customFormat="false" ht="15" hidden="false" customHeight="false" outlineLevel="0" collapsed="false">
      <c r="A8" s="0" t="s">
        <v>653</v>
      </c>
      <c r="H8" s="108" t="n">
        <f aca="false">EOMONTH(H6,0)</f>
        <v>46295</v>
      </c>
      <c r="I8" s="108" t="n">
        <f aca="false">EOMONTH(I6,0)</f>
        <v>46295</v>
      </c>
      <c r="J8" s="108" t="n">
        <f aca="false">EOMONTH(J6,0)</f>
        <v>46326</v>
      </c>
      <c r="K8" s="108" t="n">
        <f aca="false">EOMONTH(K6,0)</f>
        <v>46326</v>
      </c>
      <c r="L8" s="108" t="n">
        <f aca="false">EOMONTH(L6,0)</f>
        <v>46326</v>
      </c>
      <c r="M8" s="108" t="n">
        <f aca="false">EOMONTH(M6,0)</f>
        <v>46326</v>
      </c>
      <c r="N8" s="108" t="n">
        <f aca="false">EOMONTH(N6,0)</f>
        <v>46326</v>
      </c>
      <c r="O8" s="108" t="n">
        <f aca="false">EOMONTH(O6,0)</f>
        <v>46356</v>
      </c>
      <c r="P8" s="108" t="n">
        <f aca="false">EOMONTH(P6,0)</f>
        <v>46356</v>
      </c>
      <c r="Q8" s="108" t="n">
        <f aca="false">EOMONTH(Q6,0)</f>
        <v>46356</v>
      </c>
      <c r="R8" s="108" t="n">
        <f aca="false">EOMONTH(R6,0)</f>
        <v>46356</v>
      </c>
      <c r="S8" s="108" t="n">
        <f aca="false">EOMONTH(S6,0)</f>
        <v>46387</v>
      </c>
      <c r="T8" s="108" t="n">
        <f aca="false">EOMONTH(T6,0)</f>
        <v>46387</v>
      </c>
    </row>
    <row r="10" customFormat="false" ht="15" hidden="false" customHeight="false" outlineLevel="0" collapsed="false">
      <c r="A10" s="22" t="s">
        <v>654</v>
      </c>
      <c r="B10" s="23"/>
      <c r="C10" s="23"/>
      <c r="D10" s="23"/>
      <c r="E10" s="23"/>
      <c r="F10" s="23"/>
      <c r="G10" s="23"/>
      <c r="H10" s="23"/>
      <c r="I10" s="23"/>
      <c r="J10" s="23"/>
      <c r="K10" s="23"/>
      <c r="L10" s="23"/>
      <c r="M10" s="23"/>
      <c r="N10" s="23"/>
      <c r="O10" s="23"/>
      <c r="P10" s="23"/>
      <c r="Q10" s="23"/>
      <c r="R10" s="23"/>
      <c r="S10" s="23"/>
      <c r="T10" s="23"/>
      <c r="U10" s="23"/>
      <c r="V10" s="23"/>
      <c r="W10" s="23"/>
    </row>
    <row r="11" customFormat="false" ht="15" hidden="false" customHeight="false" outlineLevel="1" collapsed="false">
      <c r="A11" s="14" t="s">
        <v>655</v>
      </c>
      <c r="H11" s="109" t="n">
        <f aca="false">MAX(0,MIN(H$6,Assumptions!M$188)-MAX(H$7,DATE(2026,9,1),$C$7+1)+1)/(Assumptions!M$188-$C$7)</f>
        <v>0.368421052631579</v>
      </c>
      <c r="I11" s="109" t="n">
        <f aca="false">MAX(0,MIN(I$6,Assumptions!M$188)-MAX(I$7,DATE(2026,9,1),$C$7+1)+1)/(Assumptions!M$188-$C$7)</f>
        <v>0.368421052631579</v>
      </c>
      <c r="J11" s="109" t="n">
        <f aca="false">MAX(0,MIN(J$6,Assumptions!M$188)-MAX(J$7,DATE(2026,9,1),$C$7+1)+1)/(Assumptions!M$188-$C$7)</f>
        <v>0.263157894736842</v>
      </c>
      <c r="K11" s="109" t="n">
        <f aca="false">MAX(0,MIN(K$6,Assumptions!M$188)-MAX(K$7,DATE(2026,9,1),$C$7+1)+1)/(Assumptions!M$188-$C$7)</f>
        <v>0</v>
      </c>
      <c r="L11" s="109" t="n">
        <f aca="false">MAX(0,MIN(L$6,Assumptions!M$188)-MAX(L$7,DATE(2026,9,1),$C$7+1)+1)/(Assumptions!M$188-$C$7)</f>
        <v>0</v>
      </c>
      <c r="M11" s="109" t="n">
        <f aca="false">MAX(0,MIN(M$6,Assumptions!M$188)-MAX(M$7,DATE(2026,9,1),$C$7+1)+1)/(Assumptions!M$188-$C$7)</f>
        <v>0</v>
      </c>
      <c r="N11" s="109" t="n">
        <f aca="false">MAX(0,MIN(N$6,Assumptions!M$188)-MAX(N$7,DATE(2026,9,1),$C$7+1)+1)/(Assumptions!M$188-$C$7)</f>
        <v>0</v>
      </c>
      <c r="O11" s="109" t="n">
        <f aca="false">MAX(0,MIN(O$6,Assumptions!M$188)-MAX(O$7,DATE(2026,9,1),$C$7+1)+1)/(Assumptions!M$188-$C$7)</f>
        <v>0</v>
      </c>
      <c r="P11" s="109" t="n">
        <f aca="false">MAX(0,MIN(P$6,Assumptions!M$188)-MAX(P$7,DATE(2026,9,1),$C$7+1)+1)/(Assumptions!M$188-$C$7)</f>
        <v>0</v>
      </c>
      <c r="Q11" s="109" t="n">
        <f aca="false">MAX(0,MIN(Q$6,Assumptions!M$188)-MAX(Q$7,DATE(2026,9,1),$C$7+1)+1)/(Assumptions!M$188-$C$7)</f>
        <v>0</v>
      </c>
      <c r="R11" s="109" t="n">
        <f aca="false">MAX(0,MIN(R$6,Assumptions!M$188)-MAX(R$7,DATE(2026,9,1),$C$7+1)+1)/(Assumptions!M$188-$C$7)</f>
        <v>0</v>
      </c>
      <c r="S11" s="109" t="n">
        <f aca="false">MAX(0,MIN(S$6,Assumptions!M$188)-MAX(S$7,DATE(2026,9,1),$C$7+1)+1)/(Assumptions!M$188-$C$7)</f>
        <v>0</v>
      </c>
      <c r="T11" s="109" t="n">
        <f aca="false">MAX(0,MIN(T$6,Assumptions!M$188)-MAX(T$7,DATE(2026,9,1),$C$7+1)+1)/(Assumptions!M$188-$C$7)</f>
        <v>0</v>
      </c>
      <c r="U11" s="109" t="n">
        <f aca="false">SUM(H11:T11)</f>
        <v>1</v>
      </c>
    </row>
    <row r="12" customFormat="false" ht="15" hidden="false" customHeight="false" outlineLevel="1" collapsed="false">
      <c r="A12" s="14" t="s">
        <v>656</v>
      </c>
      <c r="H12" s="109" t="n">
        <f aca="false">MAX(0,MIN(H$6,Assumptions!N$188)-MAX(H$7,DATE(2026,10,1),$C$7+1)+1)/DAY(Assumptions!N$188)</f>
        <v>0</v>
      </c>
      <c r="I12" s="109" t="n">
        <f aca="false">MAX(0,MIN(I$6,Assumptions!N$188)-MAX(I$7,DATE(2026,10,1),$C$7+1)+1)/DAY(Assumptions!N$188)</f>
        <v>0</v>
      </c>
      <c r="J12" s="109" t="n">
        <f aca="false">MAX(0,MIN(J$6,Assumptions!N$188)-MAX(J$7,DATE(2026,10,1),$C$7+1)+1)/DAY(Assumptions!N$188)</f>
        <v>0.0645161290322581</v>
      </c>
      <c r="K12" s="109" t="n">
        <f aca="false">MAX(0,MIN(K$6,Assumptions!N$188)-MAX(K$7,DATE(2026,10,1),$C$7+1)+1)/DAY(Assumptions!N$188)</f>
        <v>0.225806451612903</v>
      </c>
      <c r="L12" s="109" t="n">
        <f aca="false">MAX(0,MIN(L$6,Assumptions!N$188)-MAX(L$7,DATE(2026,10,1),$C$7+1)+1)/DAY(Assumptions!N$188)</f>
        <v>0.225806451612903</v>
      </c>
      <c r="M12" s="109" t="n">
        <f aca="false">MAX(0,MIN(M$6,Assumptions!N$188)-MAX(M$7,DATE(2026,10,1),$C$7+1)+1)/DAY(Assumptions!N$188)</f>
        <v>0.225806451612903</v>
      </c>
      <c r="N12" s="109" t="n">
        <f aca="false">MAX(0,MIN(N$6,Assumptions!N$188)-MAX(N$7,DATE(2026,10,1),$C$7+1)+1)/DAY(Assumptions!N$188)</f>
        <v>0.225806451612903</v>
      </c>
      <c r="O12" s="109" t="n">
        <f aca="false">MAX(0,MIN(O$6,Assumptions!N$188)-MAX(O$7,DATE(2026,10,1),$C$7+1)+1)/DAY(Assumptions!N$188)</f>
        <v>0.032258064516129</v>
      </c>
      <c r="P12" s="109" t="n">
        <f aca="false">MAX(0,MIN(P$6,Assumptions!N$188)-MAX(P$7,DATE(2026,10,1),$C$7+1)+1)/DAY(Assumptions!N$188)</f>
        <v>0</v>
      </c>
      <c r="Q12" s="109" t="n">
        <f aca="false">MAX(0,MIN(Q$6,Assumptions!N$188)-MAX(Q$7,DATE(2026,10,1),$C$7+1)+1)/DAY(Assumptions!N$188)</f>
        <v>0</v>
      </c>
      <c r="R12" s="109" t="n">
        <f aca="false">MAX(0,MIN(R$6,Assumptions!N$188)-MAX(R$7,DATE(2026,10,1),$C$7+1)+1)/DAY(Assumptions!N$188)</f>
        <v>0</v>
      </c>
      <c r="S12" s="109" t="n">
        <f aca="false">MAX(0,MIN(S$6,Assumptions!N$188)-MAX(S$7,DATE(2026,10,1),$C$7+1)+1)/DAY(Assumptions!N$188)</f>
        <v>0</v>
      </c>
      <c r="T12" s="109" t="n">
        <f aca="false">MAX(0,MIN(T$6,Assumptions!N$188)-MAX(T$7,DATE(2026,10,1),$C$7+1)+1)/DAY(Assumptions!N$188)</f>
        <v>0</v>
      </c>
      <c r="U12" s="109" t="n">
        <f aca="false">SUM(H12:T12)</f>
        <v>1</v>
      </c>
    </row>
    <row r="13" customFormat="false" ht="15" hidden="false" customHeight="false" outlineLevel="1" collapsed="false">
      <c r="A13" s="14" t="s">
        <v>657</v>
      </c>
      <c r="H13" s="109" t="n">
        <f aca="false">MAX(0,MIN(H$6,Assumptions!O$188)-MAX(H$7,DATE(2026,11,1),$C$7+1)+1)/DAY(Assumptions!O$188)</f>
        <v>0</v>
      </c>
      <c r="I13" s="109" t="n">
        <f aca="false">MAX(0,MIN(I$6,Assumptions!O$188)-MAX(I$7,DATE(2026,11,1),$C$7+1)+1)/DAY(Assumptions!O$188)</f>
        <v>0</v>
      </c>
      <c r="J13" s="109" t="n">
        <f aca="false">MAX(0,MIN(J$6,Assumptions!O$188)-MAX(J$7,DATE(2026,11,1),$C$7+1)+1)/DAY(Assumptions!O$188)</f>
        <v>0</v>
      </c>
      <c r="K13" s="109" t="n">
        <f aca="false">MAX(0,MIN(K$6,Assumptions!O$188)-MAX(K$7,DATE(2026,11,1),$C$7+1)+1)/DAY(Assumptions!O$188)</f>
        <v>0</v>
      </c>
      <c r="L13" s="109" t="n">
        <f aca="false">MAX(0,MIN(L$6,Assumptions!O$188)-MAX(L$7,DATE(2026,11,1),$C$7+1)+1)/DAY(Assumptions!O$188)</f>
        <v>0</v>
      </c>
      <c r="M13" s="109" t="n">
        <f aca="false">MAX(0,MIN(M$6,Assumptions!O$188)-MAX(M$7,DATE(2026,11,1),$C$7+1)+1)/DAY(Assumptions!O$188)</f>
        <v>0</v>
      </c>
      <c r="N13" s="109" t="n">
        <f aca="false">MAX(0,MIN(N$6,Assumptions!O$188)-MAX(N$7,DATE(2026,11,1),$C$7+1)+1)/DAY(Assumptions!O$188)</f>
        <v>0</v>
      </c>
      <c r="O13" s="109" t="n">
        <f aca="false">MAX(0,MIN(O$6,Assumptions!O$188)-MAX(O$7,DATE(2026,11,1),$C$7+1)+1)/DAY(Assumptions!O$188)</f>
        <v>0.2</v>
      </c>
      <c r="P13" s="109" t="n">
        <f aca="false">MAX(0,MIN(P$6,Assumptions!O$188)-MAX(P$7,DATE(2026,11,1),$C$7+1)+1)/DAY(Assumptions!O$188)</f>
        <v>0.233333333333333</v>
      </c>
      <c r="Q13" s="109" t="n">
        <f aca="false">MAX(0,MIN(Q$6,Assumptions!O$188)-MAX(Q$7,DATE(2026,11,1),$C$7+1)+1)/DAY(Assumptions!O$188)</f>
        <v>0.233333333333333</v>
      </c>
      <c r="R13" s="109" t="n">
        <f aca="false">MAX(0,MIN(R$6,Assumptions!O$188)-MAX(R$7,DATE(2026,11,1),$C$7+1)+1)/DAY(Assumptions!O$188)</f>
        <v>0.233333333333333</v>
      </c>
      <c r="S13" s="109" t="n">
        <f aca="false">MAX(0,MIN(S$6,Assumptions!O$188)-MAX(S$7,DATE(2026,11,1),$C$7+1)+1)/DAY(Assumptions!O$188)</f>
        <v>0.1</v>
      </c>
      <c r="T13" s="109" t="n">
        <f aca="false">MAX(0,MIN(T$6,Assumptions!O$188)-MAX(T$7,DATE(2026,11,1),$C$7+1)+1)/DAY(Assumptions!O$188)</f>
        <v>0</v>
      </c>
      <c r="U13" s="109" t="n">
        <f aca="false">SUM(H13:T13)</f>
        <v>1</v>
      </c>
    </row>
    <row r="14" customFormat="false" ht="15" hidden="false" customHeight="false" outlineLevel="1" collapsed="false">
      <c r="A14" s="14" t="s">
        <v>658</v>
      </c>
      <c r="H14" s="109" t="n">
        <f aca="false">MAX(0,MIN(H$6,Assumptions!P$188)-MAX(H$7,DATE(2026,12,1),$C$7+1)+1)/DAY(Assumptions!P$188)</f>
        <v>0</v>
      </c>
      <c r="I14" s="109" t="n">
        <f aca="false">MAX(0,MIN(I$6,Assumptions!P$188)-MAX(I$7,DATE(2026,12,1),$C$7+1)+1)/DAY(Assumptions!P$188)</f>
        <v>0</v>
      </c>
      <c r="J14" s="109" t="n">
        <f aca="false">MAX(0,MIN(J$6,Assumptions!P$188)-MAX(J$7,DATE(2026,12,1),$C$7+1)+1)/DAY(Assumptions!P$188)</f>
        <v>0</v>
      </c>
      <c r="K14" s="109" t="n">
        <f aca="false">MAX(0,MIN(K$6,Assumptions!P$188)-MAX(K$7,DATE(2026,12,1),$C$7+1)+1)/DAY(Assumptions!P$188)</f>
        <v>0</v>
      </c>
      <c r="L14" s="109" t="n">
        <f aca="false">MAX(0,MIN(L$6,Assumptions!P$188)-MAX(L$7,DATE(2026,12,1),$C$7+1)+1)/DAY(Assumptions!P$188)</f>
        <v>0</v>
      </c>
      <c r="M14" s="109" t="n">
        <f aca="false">MAX(0,MIN(M$6,Assumptions!P$188)-MAX(M$7,DATE(2026,12,1),$C$7+1)+1)/DAY(Assumptions!P$188)</f>
        <v>0</v>
      </c>
      <c r="N14" s="109" t="n">
        <f aca="false">MAX(0,MIN(N$6,Assumptions!P$188)-MAX(N$7,DATE(2026,12,1),$C$7+1)+1)/DAY(Assumptions!P$188)</f>
        <v>0</v>
      </c>
      <c r="O14" s="109" t="n">
        <f aca="false">MAX(0,MIN(O$6,Assumptions!P$188)-MAX(O$7,DATE(2026,12,1),$C$7+1)+1)/DAY(Assumptions!P$188)</f>
        <v>0</v>
      </c>
      <c r="P14" s="109" t="n">
        <f aca="false">MAX(0,MIN(P$6,Assumptions!P$188)-MAX(P$7,DATE(2026,12,1),$C$7+1)+1)/DAY(Assumptions!P$188)</f>
        <v>0</v>
      </c>
      <c r="Q14" s="109" t="n">
        <f aca="false">MAX(0,MIN(Q$6,Assumptions!P$188)-MAX(Q$7,DATE(2026,12,1),$C$7+1)+1)/DAY(Assumptions!P$188)</f>
        <v>0</v>
      </c>
      <c r="R14" s="109" t="n">
        <f aca="false">MAX(0,MIN(R$6,Assumptions!P$188)-MAX(R$7,DATE(2026,12,1),$C$7+1)+1)/DAY(Assumptions!P$188)</f>
        <v>0</v>
      </c>
      <c r="S14" s="109" t="n">
        <f aca="false">MAX(0,MIN(S$6,Assumptions!P$188)-MAX(S$7,DATE(2026,12,1),$C$7+1)+1)/DAY(Assumptions!P$188)</f>
        <v>0.129032258064516</v>
      </c>
      <c r="T14" s="109" t="n">
        <f aca="false">MAX(0,MIN(T$6,Assumptions!P$188)-MAX(T$7,DATE(2026,12,1),$C$7+1)+1)/DAY(Assumptions!P$188)</f>
        <v>0.225806451612903</v>
      </c>
      <c r="U14" s="109" t="n">
        <f aca="false">SUM(H14:T14)</f>
        <v>0.354838709677419</v>
      </c>
    </row>
    <row r="15" customFormat="false" ht="15" hidden="false" customHeight="false" outlineLevel="1" collapsed="false">
      <c r="A15" s="14" t="s">
        <v>659</v>
      </c>
      <c r="H15" s="109" t="n">
        <f aca="false">IF(AND(DATE(2026,9,5)&gt;=H$7,DATE(2026,9,5)&lt;=H$6,DATE(2026,9,5)&gt;$C$7),1,0)</f>
        <v>0</v>
      </c>
      <c r="I15" s="109" t="n">
        <f aca="false">IF(AND(DATE(2026,9,5)&gt;=I$7,DATE(2026,9,5)&lt;=I$6,DATE(2026,9,5)&gt;$C$7),1,0)</f>
        <v>0</v>
      </c>
      <c r="J15" s="109" t="n">
        <f aca="false">IF(AND(DATE(2026,9,5)&gt;=J$7,DATE(2026,9,5)&lt;=J$6,DATE(2026,9,5)&gt;$C$7),1,0)</f>
        <v>0</v>
      </c>
      <c r="K15" s="109" t="n">
        <f aca="false">IF(AND(DATE(2026,9,5)&gt;=K$7,DATE(2026,9,5)&lt;=K$6,DATE(2026,9,5)&gt;$C$7),1,0)</f>
        <v>0</v>
      </c>
      <c r="L15" s="109" t="n">
        <f aca="false">IF(AND(DATE(2026,9,5)&gt;=L$7,DATE(2026,9,5)&lt;=L$6,DATE(2026,9,5)&gt;$C$7),1,0)</f>
        <v>0</v>
      </c>
      <c r="M15" s="109" t="n">
        <f aca="false">IF(AND(DATE(2026,9,5)&gt;=M$7,DATE(2026,9,5)&lt;=M$6,DATE(2026,9,5)&gt;$C$7),1,0)</f>
        <v>0</v>
      </c>
      <c r="N15" s="109" t="n">
        <f aca="false">IF(AND(DATE(2026,9,5)&gt;=N$7,DATE(2026,9,5)&lt;=N$6,DATE(2026,9,5)&gt;$C$7),1,0)</f>
        <v>0</v>
      </c>
      <c r="O15" s="109" t="n">
        <f aca="false">IF(AND(DATE(2026,9,5)&gt;=O$7,DATE(2026,9,5)&lt;=O$6,DATE(2026,9,5)&gt;$C$7),1,0)</f>
        <v>0</v>
      </c>
      <c r="P15" s="109" t="n">
        <f aca="false">IF(AND(DATE(2026,9,5)&gt;=P$7,DATE(2026,9,5)&lt;=P$6,DATE(2026,9,5)&gt;$C$7),1,0)</f>
        <v>0</v>
      </c>
      <c r="Q15" s="109" t="n">
        <f aca="false">IF(AND(DATE(2026,9,5)&gt;=Q$7,DATE(2026,9,5)&lt;=Q$6,DATE(2026,9,5)&gt;$C$7),1,0)</f>
        <v>0</v>
      </c>
      <c r="R15" s="109" t="n">
        <f aca="false">IF(AND(DATE(2026,9,5)&gt;=R$7,DATE(2026,9,5)&lt;=R$6,DATE(2026,9,5)&gt;$C$7),1,0)</f>
        <v>0</v>
      </c>
      <c r="S15" s="109" t="n">
        <f aca="false">IF(AND(DATE(2026,9,5)&gt;=S$7,DATE(2026,9,5)&lt;=S$6,DATE(2026,9,5)&gt;$C$7),1,0)</f>
        <v>0</v>
      </c>
      <c r="T15" s="109" t="n">
        <f aca="false">IF(AND(DATE(2026,9,5)&gt;=T$7,DATE(2026,9,5)&lt;=T$6,DATE(2026,9,5)&gt;$C$7),1,0)</f>
        <v>0</v>
      </c>
      <c r="U15" s="109" t="n">
        <f aca="false">SUM(H15:T15)</f>
        <v>0</v>
      </c>
    </row>
    <row r="16" customFormat="false" ht="15" hidden="false" customHeight="false" outlineLevel="1" collapsed="false">
      <c r="A16" s="14" t="s">
        <v>660</v>
      </c>
      <c r="H16" s="109" t="n">
        <f aca="false">IF(AND(DATE(2026,10,5)&gt;=H$7,DATE(2026,10,5)&lt;=H$6,DATE(2026,10,5)&gt;$C$7),1,0)</f>
        <v>0</v>
      </c>
      <c r="I16" s="109" t="n">
        <f aca="false">IF(AND(DATE(2026,10,5)&gt;=I$7,DATE(2026,10,5)&lt;=I$6,DATE(2026,10,5)&gt;$C$7),1,0)</f>
        <v>0</v>
      </c>
      <c r="J16" s="109" t="n">
        <f aca="false">IF(AND(DATE(2026,10,5)&gt;=J$7,DATE(2026,10,5)&lt;=J$6,DATE(2026,10,5)&gt;$C$7),1,0)</f>
        <v>0</v>
      </c>
      <c r="K16" s="109" t="n">
        <f aca="false">IF(AND(DATE(2026,10,5)&gt;=K$7,DATE(2026,10,5)&lt;=K$6,DATE(2026,10,5)&gt;$C$7),1,0)</f>
        <v>1</v>
      </c>
      <c r="L16" s="109" t="n">
        <f aca="false">IF(AND(DATE(2026,10,5)&gt;=L$7,DATE(2026,10,5)&lt;=L$6,DATE(2026,10,5)&gt;$C$7),1,0)</f>
        <v>0</v>
      </c>
      <c r="M16" s="109" t="n">
        <f aca="false">IF(AND(DATE(2026,10,5)&gt;=M$7,DATE(2026,10,5)&lt;=M$6,DATE(2026,10,5)&gt;$C$7),1,0)</f>
        <v>0</v>
      </c>
      <c r="N16" s="109" t="n">
        <f aca="false">IF(AND(DATE(2026,10,5)&gt;=N$7,DATE(2026,10,5)&lt;=N$6,DATE(2026,10,5)&gt;$C$7),1,0)</f>
        <v>0</v>
      </c>
      <c r="O16" s="109" t="n">
        <f aca="false">IF(AND(DATE(2026,10,5)&gt;=O$7,DATE(2026,10,5)&lt;=O$6,DATE(2026,10,5)&gt;$C$7),1,0)</f>
        <v>0</v>
      </c>
      <c r="P16" s="109" t="n">
        <f aca="false">IF(AND(DATE(2026,10,5)&gt;=P$7,DATE(2026,10,5)&lt;=P$6,DATE(2026,10,5)&gt;$C$7),1,0)</f>
        <v>0</v>
      </c>
      <c r="Q16" s="109" t="n">
        <f aca="false">IF(AND(DATE(2026,10,5)&gt;=Q$7,DATE(2026,10,5)&lt;=Q$6,DATE(2026,10,5)&gt;$C$7),1,0)</f>
        <v>0</v>
      </c>
      <c r="R16" s="109" t="n">
        <f aca="false">IF(AND(DATE(2026,10,5)&gt;=R$7,DATE(2026,10,5)&lt;=R$6,DATE(2026,10,5)&gt;$C$7),1,0)</f>
        <v>0</v>
      </c>
      <c r="S16" s="109" t="n">
        <f aca="false">IF(AND(DATE(2026,10,5)&gt;=S$7,DATE(2026,10,5)&lt;=S$6,DATE(2026,10,5)&gt;$C$7),1,0)</f>
        <v>0</v>
      </c>
      <c r="T16" s="109" t="n">
        <f aca="false">IF(AND(DATE(2026,10,5)&gt;=T$7,DATE(2026,10,5)&lt;=T$6,DATE(2026,10,5)&gt;$C$7),1,0)</f>
        <v>0</v>
      </c>
      <c r="U16" s="109" t="n">
        <f aca="false">SUM(H16:T16)</f>
        <v>1</v>
      </c>
    </row>
    <row r="17" customFormat="false" ht="15" hidden="false" customHeight="false" outlineLevel="1" collapsed="false">
      <c r="A17" s="14" t="s">
        <v>661</v>
      </c>
      <c r="H17" s="109" t="n">
        <f aca="false">IF(AND(DATE(2026,11,5)&gt;=H$7,DATE(2026,11,5)&lt;=H$6,DATE(2026,11,5)&gt;$C$7),1,0)</f>
        <v>0</v>
      </c>
      <c r="I17" s="109" t="n">
        <f aca="false">IF(AND(DATE(2026,11,5)&gt;=I$7,DATE(2026,11,5)&lt;=I$6,DATE(2026,11,5)&gt;$C$7),1,0)</f>
        <v>0</v>
      </c>
      <c r="J17" s="109" t="n">
        <f aca="false">IF(AND(DATE(2026,11,5)&gt;=J$7,DATE(2026,11,5)&lt;=J$6,DATE(2026,11,5)&gt;$C$7),1,0)</f>
        <v>0</v>
      </c>
      <c r="K17" s="109" t="n">
        <f aca="false">IF(AND(DATE(2026,11,5)&gt;=K$7,DATE(2026,11,5)&lt;=K$6,DATE(2026,11,5)&gt;$C$7),1,0)</f>
        <v>0</v>
      </c>
      <c r="L17" s="109" t="n">
        <f aca="false">IF(AND(DATE(2026,11,5)&gt;=L$7,DATE(2026,11,5)&lt;=L$6,DATE(2026,11,5)&gt;$C$7),1,0)</f>
        <v>0</v>
      </c>
      <c r="M17" s="109" t="n">
        <f aca="false">IF(AND(DATE(2026,11,5)&gt;=M$7,DATE(2026,11,5)&lt;=M$6,DATE(2026,11,5)&gt;$C$7),1,0)</f>
        <v>0</v>
      </c>
      <c r="N17" s="109" t="n">
        <f aca="false">IF(AND(DATE(2026,11,5)&gt;=N$7,DATE(2026,11,5)&lt;=N$6,DATE(2026,11,5)&gt;$C$7),1,0)</f>
        <v>0</v>
      </c>
      <c r="O17" s="109" t="n">
        <f aca="false">IF(AND(DATE(2026,11,5)&gt;=O$7,DATE(2026,11,5)&lt;=O$6,DATE(2026,11,5)&gt;$C$7),1,0)</f>
        <v>1</v>
      </c>
      <c r="P17" s="109" t="n">
        <f aca="false">IF(AND(DATE(2026,11,5)&gt;=P$7,DATE(2026,11,5)&lt;=P$6,DATE(2026,11,5)&gt;$C$7),1,0)</f>
        <v>0</v>
      </c>
      <c r="Q17" s="109" t="n">
        <f aca="false">IF(AND(DATE(2026,11,5)&gt;=Q$7,DATE(2026,11,5)&lt;=Q$6,DATE(2026,11,5)&gt;$C$7),1,0)</f>
        <v>0</v>
      </c>
      <c r="R17" s="109" t="n">
        <f aca="false">IF(AND(DATE(2026,11,5)&gt;=R$7,DATE(2026,11,5)&lt;=R$6,DATE(2026,11,5)&gt;$C$7),1,0)</f>
        <v>0</v>
      </c>
      <c r="S17" s="109" t="n">
        <f aca="false">IF(AND(DATE(2026,11,5)&gt;=S$7,DATE(2026,11,5)&lt;=S$6,DATE(2026,11,5)&gt;$C$7),1,0)</f>
        <v>0</v>
      </c>
      <c r="T17" s="109" t="n">
        <f aca="false">IF(AND(DATE(2026,11,5)&gt;=T$7,DATE(2026,11,5)&lt;=T$6,DATE(2026,11,5)&gt;$C$7),1,0)</f>
        <v>0</v>
      </c>
      <c r="U17" s="109" t="n">
        <f aca="false">SUM(H17:T17)</f>
        <v>1</v>
      </c>
    </row>
    <row r="18" customFormat="false" ht="15" hidden="false" customHeight="false" outlineLevel="1" collapsed="false">
      <c r="A18" s="14" t="s">
        <v>662</v>
      </c>
      <c r="H18" s="109" t="n">
        <f aca="false">IF(AND(DATE(2026,12,5)&gt;=H$7,DATE(2026,12,5)&lt;=H$6,DATE(2026,12,5)&gt;$C$7),1,0)</f>
        <v>0</v>
      </c>
      <c r="I18" s="109" t="n">
        <f aca="false">IF(AND(DATE(2026,12,5)&gt;=I$7,DATE(2026,12,5)&lt;=I$6,DATE(2026,12,5)&gt;$C$7),1,0)</f>
        <v>0</v>
      </c>
      <c r="J18" s="109" t="n">
        <f aca="false">IF(AND(DATE(2026,12,5)&gt;=J$7,DATE(2026,12,5)&lt;=J$6,DATE(2026,12,5)&gt;$C$7),1,0)</f>
        <v>0</v>
      </c>
      <c r="K18" s="109" t="n">
        <f aca="false">IF(AND(DATE(2026,12,5)&gt;=K$7,DATE(2026,12,5)&lt;=K$6,DATE(2026,12,5)&gt;$C$7),1,0)</f>
        <v>0</v>
      </c>
      <c r="L18" s="109" t="n">
        <f aca="false">IF(AND(DATE(2026,12,5)&gt;=L$7,DATE(2026,12,5)&lt;=L$6,DATE(2026,12,5)&gt;$C$7),1,0)</f>
        <v>0</v>
      </c>
      <c r="M18" s="109" t="n">
        <f aca="false">IF(AND(DATE(2026,12,5)&gt;=M$7,DATE(2026,12,5)&lt;=M$6,DATE(2026,12,5)&gt;$C$7),1,0)</f>
        <v>0</v>
      </c>
      <c r="N18" s="109" t="n">
        <f aca="false">IF(AND(DATE(2026,12,5)&gt;=N$7,DATE(2026,12,5)&lt;=N$6,DATE(2026,12,5)&gt;$C$7),1,0)</f>
        <v>0</v>
      </c>
      <c r="O18" s="109" t="n">
        <f aca="false">IF(AND(DATE(2026,12,5)&gt;=O$7,DATE(2026,12,5)&lt;=O$6,DATE(2026,12,5)&gt;$C$7),1,0)</f>
        <v>0</v>
      </c>
      <c r="P18" s="109" t="n">
        <f aca="false">IF(AND(DATE(2026,12,5)&gt;=P$7,DATE(2026,12,5)&lt;=P$6,DATE(2026,12,5)&gt;$C$7),1,0)</f>
        <v>0</v>
      </c>
      <c r="Q18" s="109" t="n">
        <f aca="false">IF(AND(DATE(2026,12,5)&gt;=Q$7,DATE(2026,12,5)&lt;=Q$6,DATE(2026,12,5)&gt;$C$7),1,0)</f>
        <v>0</v>
      </c>
      <c r="R18" s="109" t="n">
        <f aca="false">IF(AND(DATE(2026,12,5)&gt;=R$7,DATE(2026,12,5)&lt;=R$6,DATE(2026,12,5)&gt;$C$7),1,0)</f>
        <v>0</v>
      </c>
      <c r="S18" s="109" t="n">
        <f aca="false">IF(AND(DATE(2026,12,5)&gt;=S$7,DATE(2026,12,5)&lt;=S$6,DATE(2026,12,5)&gt;$C$7),1,0)</f>
        <v>0</v>
      </c>
      <c r="T18" s="109" t="n">
        <f aca="false">IF(AND(DATE(2026,12,5)&gt;=T$7,DATE(2026,12,5)&lt;=T$6,DATE(2026,12,5)&gt;$C$7),1,0)</f>
        <v>1</v>
      </c>
      <c r="U18" s="109" t="n">
        <f aca="false">SUM(H18:T18)</f>
        <v>1</v>
      </c>
    </row>
    <row r="19" customFormat="false" ht="15" hidden="false" customHeight="false" outlineLevel="1" collapsed="false">
      <c r="A19" s="14" t="s">
        <v>663</v>
      </c>
      <c r="H19" s="109" t="n">
        <f aca="false">IF(AND(DATE(2026,9,20)&gt;=H$7,DATE(2026,9,20)&lt;=H$6,DATE(2026,9,20)&gt;$C$7),1,0)</f>
        <v>0</v>
      </c>
      <c r="I19" s="109" t="n">
        <f aca="false">IF(AND(DATE(2026,9,20)&gt;=I$7,DATE(2026,9,20)&lt;=I$6,DATE(2026,9,20)&gt;$C$7),1,0)</f>
        <v>1</v>
      </c>
      <c r="J19" s="109" t="n">
        <f aca="false">IF(AND(DATE(2026,9,20)&gt;=J$7,DATE(2026,9,20)&lt;=J$6,DATE(2026,9,20)&gt;$C$7),1,0)</f>
        <v>0</v>
      </c>
      <c r="K19" s="109" t="n">
        <f aca="false">IF(AND(DATE(2026,9,20)&gt;=K$7,DATE(2026,9,20)&lt;=K$6,DATE(2026,9,20)&gt;$C$7),1,0)</f>
        <v>0</v>
      </c>
      <c r="L19" s="109" t="n">
        <f aca="false">IF(AND(DATE(2026,9,20)&gt;=L$7,DATE(2026,9,20)&lt;=L$6,DATE(2026,9,20)&gt;$C$7),1,0)</f>
        <v>0</v>
      </c>
      <c r="M19" s="109" t="n">
        <f aca="false">IF(AND(DATE(2026,9,20)&gt;=M$7,DATE(2026,9,20)&lt;=M$6,DATE(2026,9,20)&gt;$C$7),1,0)</f>
        <v>0</v>
      </c>
      <c r="N19" s="109" t="n">
        <f aca="false">IF(AND(DATE(2026,9,20)&gt;=N$7,DATE(2026,9,20)&lt;=N$6,DATE(2026,9,20)&gt;$C$7),1,0)</f>
        <v>0</v>
      </c>
      <c r="O19" s="109" t="n">
        <f aca="false">IF(AND(DATE(2026,9,20)&gt;=O$7,DATE(2026,9,20)&lt;=O$6,DATE(2026,9,20)&gt;$C$7),1,0)</f>
        <v>0</v>
      </c>
      <c r="P19" s="109" t="n">
        <f aca="false">IF(AND(DATE(2026,9,20)&gt;=P$7,DATE(2026,9,20)&lt;=P$6,DATE(2026,9,20)&gt;$C$7),1,0)</f>
        <v>0</v>
      </c>
      <c r="Q19" s="109" t="n">
        <f aca="false">IF(AND(DATE(2026,9,20)&gt;=Q$7,DATE(2026,9,20)&lt;=Q$6,DATE(2026,9,20)&gt;$C$7),1,0)</f>
        <v>0</v>
      </c>
      <c r="R19" s="109" t="n">
        <f aca="false">IF(AND(DATE(2026,9,20)&gt;=R$7,DATE(2026,9,20)&lt;=R$6,DATE(2026,9,20)&gt;$C$7),1,0)</f>
        <v>0</v>
      </c>
      <c r="S19" s="109" t="n">
        <f aca="false">IF(AND(DATE(2026,9,20)&gt;=S$7,DATE(2026,9,20)&lt;=S$6,DATE(2026,9,20)&gt;$C$7),1,0)</f>
        <v>0</v>
      </c>
      <c r="T19" s="109" t="n">
        <f aca="false">IF(AND(DATE(2026,9,20)&gt;=T$7,DATE(2026,9,20)&lt;=T$6,DATE(2026,9,20)&gt;$C$7),1,0)</f>
        <v>0</v>
      </c>
      <c r="U19" s="109" t="n">
        <f aca="false">SUM(H19:T19)</f>
        <v>1</v>
      </c>
    </row>
    <row r="20" customFormat="false" ht="15" hidden="false" customHeight="false" outlineLevel="1" collapsed="false">
      <c r="A20" s="14" t="s">
        <v>664</v>
      </c>
      <c r="H20" s="109" t="n">
        <f aca="false">IF(AND(DATE(2026,10,20)&gt;=H$7,DATE(2026,10,20)&lt;=H$6,DATE(2026,10,20)&gt;$C$7),1,0)</f>
        <v>0</v>
      </c>
      <c r="I20" s="109" t="n">
        <f aca="false">IF(AND(DATE(2026,10,20)&gt;=I$7,DATE(2026,10,20)&lt;=I$6,DATE(2026,10,20)&gt;$C$7),1,0)</f>
        <v>0</v>
      </c>
      <c r="J20" s="109" t="n">
        <f aca="false">IF(AND(DATE(2026,10,20)&gt;=J$7,DATE(2026,10,20)&lt;=J$6,DATE(2026,10,20)&gt;$C$7),1,0)</f>
        <v>0</v>
      </c>
      <c r="K20" s="109" t="n">
        <f aca="false">IF(AND(DATE(2026,10,20)&gt;=K$7,DATE(2026,10,20)&lt;=K$6,DATE(2026,10,20)&gt;$C$7),1,0)</f>
        <v>0</v>
      </c>
      <c r="L20" s="109" t="n">
        <f aca="false">IF(AND(DATE(2026,10,20)&gt;=L$7,DATE(2026,10,20)&lt;=L$6,DATE(2026,10,20)&gt;$C$7),1,0)</f>
        <v>0</v>
      </c>
      <c r="M20" s="109" t="n">
        <f aca="false">IF(AND(DATE(2026,10,20)&gt;=M$7,DATE(2026,10,20)&lt;=M$6,DATE(2026,10,20)&gt;$C$7),1,0)</f>
        <v>1</v>
      </c>
      <c r="N20" s="109" t="n">
        <f aca="false">IF(AND(DATE(2026,10,20)&gt;=N$7,DATE(2026,10,20)&lt;=N$6,DATE(2026,10,20)&gt;$C$7),1,0)</f>
        <v>0</v>
      </c>
      <c r="O20" s="109" t="n">
        <f aca="false">IF(AND(DATE(2026,10,20)&gt;=O$7,DATE(2026,10,20)&lt;=O$6,DATE(2026,10,20)&gt;$C$7),1,0)</f>
        <v>0</v>
      </c>
      <c r="P20" s="109" t="n">
        <f aca="false">IF(AND(DATE(2026,10,20)&gt;=P$7,DATE(2026,10,20)&lt;=P$6,DATE(2026,10,20)&gt;$C$7),1,0)</f>
        <v>0</v>
      </c>
      <c r="Q20" s="109" t="n">
        <f aca="false">IF(AND(DATE(2026,10,20)&gt;=Q$7,DATE(2026,10,20)&lt;=Q$6,DATE(2026,10,20)&gt;$C$7),1,0)</f>
        <v>0</v>
      </c>
      <c r="R20" s="109" t="n">
        <f aca="false">IF(AND(DATE(2026,10,20)&gt;=R$7,DATE(2026,10,20)&lt;=R$6,DATE(2026,10,20)&gt;$C$7),1,0)</f>
        <v>0</v>
      </c>
      <c r="S20" s="109" t="n">
        <f aca="false">IF(AND(DATE(2026,10,20)&gt;=S$7,DATE(2026,10,20)&lt;=S$6,DATE(2026,10,20)&gt;$C$7),1,0)</f>
        <v>0</v>
      </c>
      <c r="T20" s="109" t="n">
        <f aca="false">IF(AND(DATE(2026,10,20)&gt;=T$7,DATE(2026,10,20)&lt;=T$6,DATE(2026,10,20)&gt;$C$7),1,0)</f>
        <v>0</v>
      </c>
      <c r="U20" s="109" t="n">
        <f aca="false">SUM(H20:T20)</f>
        <v>1</v>
      </c>
    </row>
    <row r="21" customFormat="false" ht="15" hidden="false" customHeight="false" outlineLevel="1" collapsed="false">
      <c r="A21" s="14" t="s">
        <v>665</v>
      </c>
      <c r="H21" s="109" t="n">
        <f aca="false">IF(AND(DATE(2026,11,20)&gt;=H$7,DATE(2026,11,20)&lt;=H$6,DATE(2026,11,20)&gt;$C$7),1,0)</f>
        <v>0</v>
      </c>
      <c r="I21" s="109" t="n">
        <f aca="false">IF(AND(DATE(2026,11,20)&gt;=I$7,DATE(2026,11,20)&lt;=I$6,DATE(2026,11,20)&gt;$C$7),1,0)</f>
        <v>0</v>
      </c>
      <c r="J21" s="109" t="n">
        <f aca="false">IF(AND(DATE(2026,11,20)&gt;=J$7,DATE(2026,11,20)&lt;=J$6,DATE(2026,11,20)&gt;$C$7),1,0)</f>
        <v>0</v>
      </c>
      <c r="K21" s="109" t="n">
        <f aca="false">IF(AND(DATE(2026,11,20)&gt;=K$7,DATE(2026,11,20)&lt;=K$6,DATE(2026,11,20)&gt;$C$7),1,0)</f>
        <v>0</v>
      </c>
      <c r="L21" s="109" t="n">
        <f aca="false">IF(AND(DATE(2026,11,20)&gt;=L$7,DATE(2026,11,20)&lt;=L$6,DATE(2026,11,20)&gt;$C$7),1,0)</f>
        <v>0</v>
      </c>
      <c r="M21" s="109" t="n">
        <f aca="false">IF(AND(DATE(2026,11,20)&gt;=M$7,DATE(2026,11,20)&lt;=M$6,DATE(2026,11,20)&gt;$C$7),1,0)</f>
        <v>0</v>
      </c>
      <c r="N21" s="109" t="n">
        <f aca="false">IF(AND(DATE(2026,11,20)&gt;=N$7,DATE(2026,11,20)&lt;=N$6,DATE(2026,11,20)&gt;$C$7),1,0)</f>
        <v>0</v>
      </c>
      <c r="O21" s="109" t="n">
        <f aca="false">IF(AND(DATE(2026,11,20)&gt;=O$7,DATE(2026,11,20)&lt;=O$6,DATE(2026,11,20)&gt;$C$7),1,0)</f>
        <v>0</v>
      </c>
      <c r="P21" s="109" t="n">
        <f aca="false">IF(AND(DATE(2026,11,20)&gt;=P$7,DATE(2026,11,20)&lt;=P$6,DATE(2026,11,20)&gt;$C$7),1,0)</f>
        <v>0</v>
      </c>
      <c r="Q21" s="109" t="n">
        <f aca="false">IF(AND(DATE(2026,11,20)&gt;=Q$7,DATE(2026,11,20)&lt;=Q$6,DATE(2026,11,20)&gt;$C$7),1,0)</f>
        <v>1</v>
      </c>
      <c r="R21" s="109" t="n">
        <f aca="false">IF(AND(DATE(2026,11,20)&gt;=R$7,DATE(2026,11,20)&lt;=R$6,DATE(2026,11,20)&gt;$C$7),1,0)</f>
        <v>0</v>
      </c>
      <c r="S21" s="109" t="n">
        <f aca="false">IF(AND(DATE(2026,11,20)&gt;=S$7,DATE(2026,11,20)&lt;=S$6,DATE(2026,11,20)&gt;$C$7),1,0)</f>
        <v>0</v>
      </c>
      <c r="T21" s="109" t="n">
        <f aca="false">IF(AND(DATE(2026,11,20)&gt;=T$7,DATE(2026,11,20)&lt;=T$6,DATE(2026,11,20)&gt;$C$7),1,0)</f>
        <v>0</v>
      </c>
      <c r="U21" s="109" t="n">
        <f aca="false">SUM(H21:T21)</f>
        <v>1</v>
      </c>
    </row>
    <row r="22" customFormat="false" ht="15" hidden="false" customHeight="false" outlineLevel="1" collapsed="false">
      <c r="A22" s="14" t="s">
        <v>666</v>
      </c>
      <c r="H22" s="109" t="n">
        <f aca="false">IF(AND(DATE(2026,12,20)&gt;=H$7,DATE(2026,12,20)&lt;=H$6,DATE(2026,12,20)&gt;$C$7),1,0)</f>
        <v>0</v>
      </c>
      <c r="I22" s="109" t="n">
        <f aca="false">IF(AND(DATE(2026,12,20)&gt;=I$7,DATE(2026,12,20)&lt;=I$6,DATE(2026,12,20)&gt;$C$7),1,0)</f>
        <v>0</v>
      </c>
      <c r="J22" s="109" t="n">
        <f aca="false">IF(AND(DATE(2026,12,20)&gt;=J$7,DATE(2026,12,20)&lt;=J$6,DATE(2026,12,20)&gt;$C$7),1,0)</f>
        <v>0</v>
      </c>
      <c r="K22" s="109" t="n">
        <f aca="false">IF(AND(DATE(2026,12,20)&gt;=K$7,DATE(2026,12,20)&lt;=K$6,DATE(2026,12,20)&gt;$C$7),1,0)</f>
        <v>0</v>
      </c>
      <c r="L22" s="109" t="n">
        <f aca="false">IF(AND(DATE(2026,12,20)&gt;=L$7,DATE(2026,12,20)&lt;=L$6,DATE(2026,12,20)&gt;$C$7),1,0)</f>
        <v>0</v>
      </c>
      <c r="M22" s="109" t="n">
        <f aca="false">IF(AND(DATE(2026,12,20)&gt;=M$7,DATE(2026,12,20)&lt;=M$6,DATE(2026,12,20)&gt;$C$7),1,0)</f>
        <v>0</v>
      </c>
      <c r="N22" s="109" t="n">
        <f aca="false">IF(AND(DATE(2026,12,20)&gt;=N$7,DATE(2026,12,20)&lt;=N$6,DATE(2026,12,20)&gt;$C$7),1,0)</f>
        <v>0</v>
      </c>
      <c r="O22" s="109" t="n">
        <f aca="false">IF(AND(DATE(2026,12,20)&gt;=O$7,DATE(2026,12,20)&lt;=O$6,DATE(2026,12,20)&gt;$C$7),1,0)</f>
        <v>0</v>
      </c>
      <c r="P22" s="109" t="n">
        <f aca="false">IF(AND(DATE(2026,12,20)&gt;=P$7,DATE(2026,12,20)&lt;=P$6,DATE(2026,12,20)&gt;$C$7),1,0)</f>
        <v>0</v>
      </c>
      <c r="Q22" s="109" t="n">
        <f aca="false">IF(AND(DATE(2026,12,20)&gt;=Q$7,DATE(2026,12,20)&lt;=Q$6,DATE(2026,12,20)&gt;$C$7),1,0)</f>
        <v>0</v>
      </c>
      <c r="R22" s="109" t="n">
        <f aca="false">IF(AND(DATE(2026,12,20)&gt;=R$7,DATE(2026,12,20)&lt;=R$6,DATE(2026,12,20)&gt;$C$7),1,0)</f>
        <v>0</v>
      </c>
      <c r="S22" s="109" t="n">
        <f aca="false">IF(AND(DATE(2026,12,20)&gt;=S$7,DATE(2026,12,20)&lt;=S$6,DATE(2026,12,20)&gt;$C$7),1,0)</f>
        <v>0</v>
      </c>
      <c r="T22" s="109" t="n">
        <f aca="false">IF(AND(DATE(2026,12,20)&gt;=T$7,DATE(2026,12,20)&lt;=T$6,DATE(2026,12,20)&gt;$C$7),1,0)</f>
        <v>0</v>
      </c>
      <c r="U22" s="109" t="n">
        <f aca="false">SUM(H22:T22)</f>
        <v>0</v>
      </c>
    </row>
    <row r="23" customFormat="false" ht="15" hidden="false" customHeight="false" outlineLevel="1" collapsed="false">
      <c r="A23" s="14" t="s">
        <v>667</v>
      </c>
      <c r="H23" s="109" t="n">
        <f aca="false">IF(AND(DATE(2026,9,25)&gt;=H$7,DATE(2026,9,25)&lt;=H$6,DATE(2026,9,25)&gt;$C$7),1,0)</f>
        <v>0</v>
      </c>
      <c r="I23" s="109" t="n">
        <f aca="false">IF(AND(DATE(2026,9,25)&gt;=I$7,DATE(2026,9,25)&lt;=I$6,DATE(2026,9,25)&gt;$C$7),1,0)</f>
        <v>1</v>
      </c>
      <c r="J23" s="109" t="n">
        <f aca="false">IF(AND(DATE(2026,9,25)&gt;=J$7,DATE(2026,9,25)&lt;=J$6,DATE(2026,9,25)&gt;$C$7),1,0)</f>
        <v>0</v>
      </c>
      <c r="K23" s="109" t="n">
        <f aca="false">IF(AND(DATE(2026,9,25)&gt;=K$7,DATE(2026,9,25)&lt;=K$6,DATE(2026,9,25)&gt;$C$7),1,0)</f>
        <v>0</v>
      </c>
      <c r="L23" s="109" t="n">
        <f aca="false">IF(AND(DATE(2026,9,25)&gt;=L$7,DATE(2026,9,25)&lt;=L$6,DATE(2026,9,25)&gt;$C$7),1,0)</f>
        <v>0</v>
      </c>
      <c r="M23" s="109" t="n">
        <f aca="false">IF(AND(DATE(2026,9,25)&gt;=M$7,DATE(2026,9,25)&lt;=M$6,DATE(2026,9,25)&gt;$C$7),1,0)</f>
        <v>0</v>
      </c>
      <c r="N23" s="109" t="n">
        <f aca="false">IF(AND(DATE(2026,9,25)&gt;=N$7,DATE(2026,9,25)&lt;=N$6,DATE(2026,9,25)&gt;$C$7),1,0)</f>
        <v>0</v>
      </c>
      <c r="O23" s="109" t="n">
        <f aca="false">IF(AND(DATE(2026,9,25)&gt;=O$7,DATE(2026,9,25)&lt;=O$6,DATE(2026,9,25)&gt;$C$7),1,0)</f>
        <v>0</v>
      </c>
      <c r="P23" s="109" t="n">
        <f aca="false">IF(AND(DATE(2026,9,25)&gt;=P$7,DATE(2026,9,25)&lt;=P$6,DATE(2026,9,25)&gt;$C$7),1,0)</f>
        <v>0</v>
      </c>
      <c r="Q23" s="109" t="n">
        <f aca="false">IF(AND(DATE(2026,9,25)&gt;=Q$7,DATE(2026,9,25)&lt;=Q$6,DATE(2026,9,25)&gt;$C$7),1,0)</f>
        <v>0</v>
      </c>
      <c r="R23" s="109" t="n">
        <f aca="false">IF(AND(DATE(2026,9,25)&gt;=R$7,DATE(2026,9,25)&lt;=R$6,DATE(2026,9,25)&gt;$C$7),1,0)</f>
        <v>0</v>
      </c>
      <c r="S23" s="109" t="n">
        <f aca="false">IF(AND(DATE(2026,9,25)&gt;=S$7,DATE(2026,9,25)&lt;=S$6,DATE(2026,9,25)&gt;$C$7),1,0)</f>
        <v>0</v>
      </c>
      <c r="T23" s="109" t="n">
        <f aca="false">IF(AND(DATE(2026,9,25)&gt;=T$7,DATE(2026,9,25)&lt;=T$6,DATE(2026,9,25)&gt;$C$7),1,0)</f>
        <v>0</v>
      </c>
      <c r="U23" s="109" t="n">
        <f aca="false">SUM(H23:T23)</f>
        <v>1</v>
      </c>
    </row>
    <row r="24" customFormat="false" ht="15" hidden="false" customHeight="false" outlineLevel="1" collapsed="false">
      <c r="A24" s="14" t="s">
        <v>668</v>
      </c>
      <c r="H24" s="109" t="n">
        <f aca="false">IF(AND(DATE(2026,10,25)&gt;=H$7,DATE(2026,10,25)&lt;=H$6,DATE(2026,10,25)&gt;$C$7),1,0)</f>
        <v>0</v>
      </c>
      <c r="I24" s="109" t="n">
        <f aca="false">IF(AND(DATE(2026,10,25)&gt;=I$7,DATE(2026,10,25)&lt;=I$6,DATE(2026,10,25)&gt;$C$7),1,0)</f>
        <v>0</v>
      </c>
      <c r="J24" s="109" t="n">
        <f aca="false">IF(AND(DATE(2026,10,25)&gt;=J$7,DATE(2026,10,25)&lt;=J$6,DATE(2026,10,25)&gt;$C$7),1,0)</f>
        <v>0</v>
      </c>
      <c r="K24" s="109" t="n">
        <f aca="false">IF(AND(DATE(2026,10,25)&gt;=K$7,DATE(2026,10,25)&lt;=K$6,DATE(2026,10,25)&gt;$C$7),1,0)</f>
        <v>0</v>
      </c>
      <c r="L24" s="109" t="n">
        <f aca="false">IF(AND(DATE(2026,10,25)&gt;=L$7,DATE(2026,10,25)&lt;=L$6,DATE(2026,10,25)&gt;$C$7),1,0)</f>
        <v>0</v>
      </c>
      <c r="M24" s="109" t="n">
        <f aca="false">IF(AND(DATE(2026,10,25)&gt;=M$7,DATE(2026,10,25)&lt;=M$6,DATE(2026,10,25)&gt;$C$7),1,0)</f>
        <v>0</v>
      </c>
      <c r="N24" s="109" t="n">
        <f aca="false">IF(AND(DATE(2026,10,25)&gt;=N$7,DATE(2026,10,25)&lt;=N$6,DATE(2026,10,25)&gt;$C$7),1,0)</f>
        <v>1</v>
      </c>
      <c r="O24" s="109" t="n">
        <f aca="false">IF(AND(DATE(2026,10,25)&gt;=O$7,DATE(2026,10,25)&lt;=O$6,DATE(2026,10,25)&gt;$C$7),1,0)</f>
        <v>0</v>
      </c>
      <c r="P24" s="109" t="n">
        <f aca="false">IF(AND(DATE(2026,10,25)&gt;=P$7,DATE(2026,10,25)&lt;=P$6,DATE(2026,10,25)&gt;$C$7),1,0)</f>
        <v>0</v>
      </c>
      <c r="Q24" s="109" t="n">
        <f aca="false">IF(AND(DATE(2026,10,25)&gt;=Q$7,DATE(2026,10,25)&lt;=Q$6,DATE(2026,10,25)&gt;$C$7),1,0)</f>
        <v>0</v>
      </c>
      <c r="R24" s="109" t="n">
        <f aca="false">IF(AND(DATE(2026,10,25)&gt;=R$7,DATE(2026,10,25)&lt;=R$6,DATE(2026,10,25)&gt;$C$7),1,0)</f>
        <v>0</v>
      </c>
      <c r="S24" s="109" t="n">
        <f aca="false">IF(AND(DATE(2026,10,25)&gt;=S$7,DATE(2026,10,25)&lt;=S$6,DATE(2026,10,25)&gt;$C$7),1,0)</f>
        <v>0</v>
      </c>
      <c r="T24" s="109" t="n">
        <f aca="false">IF(AND(DATE(2026,10,25)&gt;=T$7,DATE(2026,10,25)&lt;=T$6,DATE(2026,10,25)&gt;$C$7),1,0)</f>
        <v>0</v>
      </c>
      <c r="U24" s="109" t="n">
        <f aca="false">SUM(H24:T24)</f>
        <v>1</v>
      </c>
    </row>
    <row r="25" customFormat="false" ht="15" hidden="false" customHeight="false" outlineLevel="1" collapsed="false">
      <c r="A25" s="14" t="s">
        <v>669</v>
      </c>
      <c r="H25" s="109" t="n">
        <f aca="false">IF(AND(DATE(2026,11,25)&gt;=H$7,DATE(2026,11,25)&lt;=H$6,DATE(2026,11,25)&gt;$C$7),1,0)</f>
        <v>0</v>
      </c>
      <c r="I25" s="109" t="n">
        <f aca="false">IF(AND(DATE(2026,11,25)&gt;=I$7,DATE(2026,11,25)&lt;=I$6,DATE(2026,11,25)&gt;$C$7),1,0)</f>
        <v>0</v>
      </c>
      <c r="J25" s="109" t="n">
        <f aca="false">IF(AND(DATE(2026,11,25)&gt;=J$7,DATE(2026,11,25)&lt;=J$6,DATE(2026,11,25)&gt;$C$7),1,0)</f>
        <v>0</v>
      </c>
      <c r="K25" s="109" t="n">
        <f aca="false">IF(AND(DATE(2026,11,25)&gt;=K$7,DATE(2026,11,25)&lt;=K$6,DATE(2026,11,25)&gt;$C$7),1,0)</f>
        <v>0</v>
      </c>
      <c r="L25" s="109" t="n">
        <f aca="false">IF(AND(DATE(2026,11,25)&gt;=L$7,DATE(2026,11,25)&lt;=L$6,DATE(2026,11,25)&gt;$C$7),1,0)</f>
        <v>0</v>
      </c>
      <c r="M25" s="109" t="n">
        <f aca="false">IF(AND(DATE(2026,11,25)&gt;=M$7,DATE(2026,11,25)&lt;=M$6,DATE(2026,11,25)&gt;$C$7),1,0)</f>
        <v>0</v>
      </c>
      <c r="N25" s="109" t="n">
        <f aca="false">IF(AND(DATE(2026,11,25)&gt;=N$7,DATE(2026,11,25)&lt;=N$6,DATE(2026,11,25)&gt;$C$7),1,0)</f>
        <v>0</v>
      </c>
      <c r="O25" s="109" t="n">
        <f aca="false">IF(AND(DATE(2026,11,25)&gt;=O$7,DATE(2026,11,25)&lt;=O$6,DATE(2026,11,25)&gt;$C$7),1,0)</f>
        <v>0</v>
      </c>
      <c r="P25" s="109" t="n">
        <f aca="false">IF(AND(DATE(2026,11,25)&gt;=P$7,DATE(2026,11,25)&lt;=P$6,DATE(2026,11,25)&gt;$C$7),1,0)</f>
        <v>0</v>
      </c>
      <c r="Q25" s="109" t="n">
        <f aca="false">IF(AND(DATE(2026,11,25)&gt;=Q$7,DATE(2026,11,25)&lt;=Q$6,DATE(2026,11,25)&gt;$C$7),1,0)</f>
        <v>0</v>
      </c>
      <c r="R25" s="109" t="n">
        <f aca="false">IF(AND(DATE(2026,11,25)&gt;=R$7,DATE(2026,11,25)&lt;=R$6,DATE(2026,11,25)&gt;$C$7),1,0)</f>
        <v>1</v>
      </c>
      <c r="S25" s="109" t="n">
        <f aca="false">IF(AND(DATE(2026,11,25)&gt;=S$7,DATE(2026,11,25)&lt;=S$6,DATE(2026,11,25)&gt;$C$7),1,0)</f>
        <v>0</v>
      </c>
      <c r="T25" s="109" t="n">
        <f aca="false">IF(AND(DATE(2026,11,25)&gt;=T$7,DATE(2026,11,25)&lt;=T$6,DATE(2026,11,25)&gt;$C$7),1,0)</f>
        <v>0</v>
      </c>
      <c r="U25" s="109" t="n">
        <f aca="false">SUM(H25:T25)</f>
        <v>1</v>
      </c>
    </row>
    <row r="26" customFormat="false" ht="15" hidden="false" customHeight="false" outlineLevel="1" collapsed="false">
      <c r="A26" s="14" t="s">
        <v>670</v>
      </c>
      <c r="H26" s="109" t="n">
        <f aca="false">IF(AND(DATE(2026,12,25)&gt;=H$7,DATE(2026,12,25)&lt;=H$6,DATE(2026,12,25)&gt;$C$7),1,0)</f>
        <v>0</v>
      </c>
      <c r="I26" s="109" t="n">
        <f aca="false">IF(AND(DATE(2026,12,25)&gt;=I$7,DATE(2026,12,25)&lt;=I$6,DATE(2026,12,25)&gt;$C$7),1,0)</f>
        <v>0</v>
      </c>
      <c r="J26" s="109" t="n">
        <f aca="false">IF(AND(DATE(2026,12,25)&gt;=J$7,DATE(2026,12,25)&lt;=J$6,DATE(2026,12,25)&gt;$C$7),1,0)</f>
        <v>0</v>
      </c>
      <c r="K26" s="109" t="n">
        <f aca="false">IF(AND(DATE(2026,12,25)&gt;=K$7,DATE(2026,12,25)&lt;=K$6,DATE(2026,12,25)&gt;$C$7),1,0)</f>
        <v>0</v>
      </c>
      <c r="L26" s="109" t="n">
        <f aca="false">IF(AND(DATE(2026,12,25)&gt;=L$7,DATE(2026,12,25)&lt;=L$6,DATE(2026,12,25)&gt;$C$7),1,0)</f>
        <v>0</v>
      </c>
      <c r="M26" s="109" t="n">
        <f aca="false">IF(AND(DATE(2026,12,25)&gt;=M$7,DATE(2026,12,25)&lt;=M$6,DATE(2026,12,25)&gt;$C$7),1,0)</f>
        <v>0</v>
      </c>
      <c r="N26" s="109" t="n">
        <f aca="false">IF(AND(DATE(2026,12,25)&gt;=N$7,DATE(2026,12,25)&lt;=N$6,DATE(2026,12,25)&gt;$C$7),1,0)</f>
        <v>0</v>
      </c>
      <c r="O26" s="109" t="n">
        <f aca="false">IF(AND(DATE(2026,12,25)&gt;=O$7,DATE(2026,12,25)&lt;=O$6,DATE(2026,12,25)&gt;$C$7),1,0)</f>
        <v>0</v>
      </c>
      <c r="P26" s="109" t="n">
        <f aca="false">IF(AND(DATE(2026,12,25)&gt;=P$7,DATE(2026,12,25)&lt;=P$6,DATE(2026,12,25)&gt;$C$7),1,0)</f>
        <v>0</v>
      </c>
      <c r="Q26" s="109" t="n">
        <f aca="false">IF(AND(DATE(2026,12,25)&gt;=Q$7,DATE(2026,12,25)&lt;=Q$6,DATE(2026,12,25)&gt;$C$7),1,0)</f>
        <v>0</v>
      </c>
      <c r="R26" s="109" t="n">
        <f aca="false">IF(AND(DATE(2026,12,25)&gt;=R$7,DATE(2026,12,25)&lt;=R$6,DATE(2026,12,25)&gt;$C$7),1,0)</f>
        <v>0</v>
      </c>
      <c r="S26" s="109" t="n">
        <f aca="false">IF(AND(DATE(2026,12,25)&gt;=S$7,DATE(2026,12,25)&lt;=S$6,DATE(2026,12,25)&gt;$C$7),1,0)</f>
        <v>0</v>
      </c>
      <c r="T26" s="109" t="n">
        <f aca="false">IF(AND(DATE(2026,12,25)&gt;=T$7,DATE(2026,12,25)&lt;=T$6,DATE(2026,12,25)&gt;$C$7),1,0)</f>
        <v>0</v>
      </c>
      <c r="U26" s="109" t="n">
        <f aca="false">SUM(H26:T26)</f>
        <v>0</v>
      </c>
    </row>
    <row r="27" customFormat="false" ht="15" hidden="false" customHeight="false" outlineLevel="1" collapsed="false">
      <c r="A27" s="14" t="s">
        <v>671</v>
      </c>
      <c r="H27" s="109" t="n">
        <f aca="false">IF(AND(DATE(2026,9,30)&gt;=H$7,DATE(2026,9,30)&lt;=H$6,DATE(2026,9,30)&gt;$C$7),1,0)</f>
        <v>0</v>
      </c>
      <c r="I27" s="109" t="n">
        <f aca="false">IF(AND(DATE(2026,9,30)&gt;=I$7,DATE(2026,9,30)&lt;=I$6,DATE(2026,9,30)&gt;$C$7),1,0)</f>
        <v>0</v>
      </c>
      <c r="J27" s="109" t="n">
        <f aca="false">IF(AND(DATE(2026,9,30)&gt;=J$7,DATE(2026,9,30)&lt;=J$6,DATE(2026,9,30)&gt;$C$7),1,0)</f>
        <v>1</v>
      </c>
      <c r="K27" s="109" t="n">
        <f aca="false">IF(AND(DATE(2026,9,30)&gt;=K$7,DATE(2026,9,30)&lt;=K$6,DATE(2026,9,30)&gt;$C$7),1,0)</f>
        <v>0</v>
      </c>
      <c r="L27" s="109" t="n">
        <f aca="false">IF(AND(DATE(2026,9,30)&gt;=L$7,DATE(2026,9,30)&lt;=L$6,DATE(2026,9,30)&gt;$C$7),1,0)</f>
        <v>0</v>
      </c>
      <c r="M27" s="109" t="n">
        <f aca="false">IF(AND(DATE(2026,9,30)&gt;=M$7,DATE(2026,9,30)&lt;=M$6,DATE(2026,9,30)&gt;$C$7),1,0)</f>
        <v>0</v>
      </c>
      <c r="N27" s="109" t="n">
        <f aca="false">IF(AND(DATE(2026,9,30)&gt;=N$7,DATE(2026,9,30)&lt;=N$6,DATE(2026,9,30)&gt;$C$7),1,0)</f>
        <v>0</v>
      </c>
      <c r="O27" s="109" t="n">
        <f aca="false">IF(AND(DATE(2026,9,30)&gt;=O$7,DATE(2026,9,30)&lt;=O$6,DATE(2026,9,30)&gt;$C$7),1,0)</f>
        <v>0</v>
      </c>
      <c r="P27" s="109" t="n">
        <f aca="false">IF(AND(DATE(2026,9,30)&gt;=P$7,DATE(2026,9,30)&lt;=P$6,DATE(2026,9,30)&gt;$C$7),1,0)</f>
        <v>0</v>
      </c>
      <c r="Q27" s="109" t="n">
        <f aca="false">IF(AND(DATE(2026,9,30)&gt;=Q$7,DATE(2026,9,30)&lt;=Q$6,DATE(2026,9,30)&gt;$C$7),1,0)</f>
        <v>0</v>
      </c>
      <c r="R27" s="109" t="n">
        <f aca="false">IF(AND(DATE(2026,9,30)&gt;=R$7,DATE(2026,9,30)&lt;=R$6,DATE(2026,9,30)&gt;$C$7),1,0)</f>
        <v>0</v>
      </c>
      <c r="S27" s="109" t="n">
        <f aca="false">IF(AND(DATE(2026,9,30)&gt;=S$7,DATE(2026,9,30)&lt;=S$6,DATE(2026,9,30)&gt;$C$7),1,0)</f>
        <v>0</v>
      </c>
      <c r="T27" s="109" t="n">
        <f aca="false">IF(AND(DATE(2026,9,30)&gt;=T$7,DATE(2026,9,30)&lt;=T$6,DATE(2026,9,30)&gt;$C$7),1,0)</f>
        <v>0</v>
      </c>
      <c r="U27" s="109" t="n">
        <f aca="false">SUM(H27:T27)</f>
        <v>1</v>
      </c>
    </row>
    <row r="28" customFormat="false" ht="15" hidden="false" customHeight="false" outlineLevel="1" collapsed="false">
      <c r="A28" s="14" t="s">
        <v>672</v>
      </c>
      <c r="H28" s="109" t="n">
        <f aca="false">IF(AND(DATE(2026,10,30)&gt;=H$7,DATE(2026,10,30)&lt;=H$6,DATE(2026,10,30)&gt;$C$7),1,0)</f>
        <v>0</v>
      </c>
      <c r="I28" s="109" t="n">
        <f aca="false">IF(AND(DATE(2026,10,30)&gt;=I$7,DATE(2026,10,30)&lt;=I$6,DATE(2026,10,30)&gt;$C$7),1,0)</f>
        <v>0</v>
      </c>
      <c r="J28" s="109" t="n">
        <f aca="false">IF(AND(DATE(2026,10,30)&gt;=J$7,DATE(2026,10,30)&lt;=J$6,DATE(2026,10,30)&gt;$C$7),1,0)</f>
        <v>0</v>
      </c>
      <c r="K28" s="109" t="n">
        <f aca="false">IF(AND(DATE(2026,10,30)&gt;=K$7,DATE(2026,10,30)&lt;=K$6,DATE(2026,10,30)&gt;$C$7),1,0)</f>
        <v>0</v>
      </c>
      <c r="L28" s="109" t="n">
        <f aca="false">IF(AND(DATE(2026,10,30)&gt;=L$7,DATE(2026,10,30)&lt;=L$6,DATE(2026,10,30)&gt;$C$7),1,0)</f>
        <v>0</v>
      </c>
      <c r="M28" s="109" t="n">
        <f aca="false">IF(AND(DATE(2026,10,30)&gt;=M$7,DATE(2026,10,30)&lt;=M$6,DATE(2026,10,30)&gt;$C$7),1,0)</f>
        <v>0</v>
      </c>
      <c r="N28" s="109" t="n">
        <f aca="false">IF(AND(DATE(2026,10,30)&gt;=N$7,DATE(2026,10,30)&lt;=N$6,DATE(2026,10,30)&gt;$C$7),1,0)</f>
        <v>1</v>
      </c>
      <c r="O28" s="109" t="n">
        <f aca="false">IF(AND(DATE(2026,10,30)&gt;=O$7,DATE(2026,10,30)&lt;=O$6,DATE(2026,10,30)&gt;$C$7),1,0)</f>
        <v>0</v>
      </c>
      <c r="P28" s="109" t="n">
        <f aca="false">IF(AND(DATE(2026,10,30)&gt;=P$7,DATE(2026,10,30)&lt;=P$6,DATE(2026,10,30)&gt;$C$7),1,0)</f>
        <v>0</v>
      </c>
      <c r="Q28" s="109" t="n">
        <f aca="false">IF(AND(DATE(2026,10,30)&gt;=Q$7,DATE(2026,10,30)&lt;=Q$6,DATE(2026,10,30)&gt;$C$7),1,0)</f>
        <v>0</v>
      </c>
      <c r="R28" s="109" t="n">
        <f aca="false">IF(AND(DATE(2026,10,30)&gt;=R$7,DATE(2026,10,30)&lt;=R$6,DATE(2026,10,30)&gt;$C$7),1,0)</f>
        <v>0</v>
      </c>
      <c r="S28" s="109" t="n">
        <f aca="false">IF(AND(DATE(2026,10,30)&gt;=S$7,DATE(2026,10,30)&lt;=S$6,DATE(2026,10,30)&gt;$C$7),1,0)</f>
        <v>0</v>
      </c>
      <c r="T28" s="109" t="n">
        <f aca="false">IF(AND(DATE(2026,10,30)&gt;=T$7,DATE(2026,10,30)&lt;=T$6,DATE(2026,10,30)&gt;$C$7),1,0)</f>
        <v>0</v>
      </c>
      <c r="U28" s="109" t="n">
        <f aca="false">SUM(H28:T28)</f>
        <v>1</v>
      </c>
    </row>
    <row r="29" customFormat="false" ht="15" hidden="false" customHeight="false" outlineLevel="1" collapsed="false">
      <c r="A29" s="14" t="s">
        <v>673</v>
      </c>
      <c r="H29" s="109" t="n">
        <f aca="false">IF(AND(DATE(2026,11,30)&gt;=H$7,DATE(2026,11,30)&lt;=H$6,DATE(2026,11,30)&gt;$C$7),1,0)</f>
        <v>0</v>
      </c>
      <c r="I29" s="109" t="n">
        <f aca="false">IF(AND(DATE(2026,11,30)&gt;=I$7,DATE(2026,11,30)&lt;=I$6,DATE(2026,11,30)&gt;$C$7),1,0)</f>
        <v>0</v>
      </c>
      <c r="J29" s="109" t="n">
        <f aca="false">IF(AND(DATE(2026,11,30)&gt;=J$7,DATE(2026,11,30)&lt;=J$6,DATE(2026,11,30)&gt;$C$7),1,0)</f>
        <v>0</v>
      </c>
      <c r="K29" s="109" t="n">
        <f aca="false">IF(AND(DATE(2026,11,30)&gt;=K$7,DATE(2026,11,30)&lt;=K$6,DATE(2026,11,30)&gt;$C$7),1,0)</f>
        <v>0</v>
      </c>
      <c r="L29" s="109" t="n">
        <f aca="false">IF(AND(DATE(2026,11,30)&gt;=L$7,DATE(2026,11,30)&lt;=L$6,DATE(2026,11,30)&gt;$C$7),1,0)</f>
        <v>0</v>
      </c>
      <c r="M29" s="109" t="n">
        <f aca="false">IF(AND(DATE(2026,11,30)&gt;=M$7,DATE(2026,11,30)&lt;=M$6,DATE(2026,11,30)&gt;$C$7),1,0)</f>
        <v>0</v>
      </c>
      <c r="N29" s="109" t="n">
        <f aca="false">IF(AND(DATE(2026,11,30)&gt;=N$7,DATE(2026,11,30)&lt;=N$6,DATE(2026,11,30)&gt;$C$7),1,0)</f>
        <v>0</v>
      </c>
      <c r="O29" s="109" t="n">
        <f aca="false">IF(AND(DATE(2026,11,30)&gt;=O$7,DATE(2026,11,30)&lt;=O$6,DATE(2026,11,30)&gt;$C$7),1,0)</f>
        <v>0</v>
      </c>
      <c r="P29" s="109" t="n">
        <f aca="false">IF(AND(DATE(2026,11,30)&gt;=P$7,DATE(2026,11,30)&lt;=P$6,DATE(2026,11,30)&gt;$C$7),1,0)</f>
        <v>0</v>
      </c>
      <c r="Q29" s="109" t="n">
        <f aca="false">IF(AND(DATE(2026,11,30)&gt;=Q$7,DATE(2026,11,30)&lt;=Q$6,DATE(2026,11,30)&gt;$C$7),1,0)</f>
        <v>0</v>
      </c>
      <c r="R29" s="109" t="n">
        <f aca="false">IF(AND(DATE(2026,11,30)&gt;=R$7,DATE(2026,11,30)&lt;=R$6,DATE(2026,11,30)&gt;$C$7),1,0)</f>
        <v>0</v>
      </c>
      <c r="S29" s="109" t="n">
        <f aca="false">IF(AND(DATE(2026,11,30)&gt;=S$7,DATE(2026,11,30)&lt;=S$6,DATE(2026,11,30)&gt;$C$7),1,0)</f>
        <v>1</v>
      </c>
      <c r="T29" s="109" t="n">
        <f aca="false">IF(AND(DATE(2026,11,30)&gt;=T$7,DATE(2026,11,30)&lt;=T$6,DATE(2026,11,30)&gt;$C$7),1,0)</f>
        <v>0</v>
      </c>
      <c r="U29" s="109" t="n">
        <f aca="false">SUM(H29:T29)</f>
        <v>1</v>
      </c>
    </row>
    <row r="30" customFormat="false" ht="15" hidden="false" customHeight="false" outlineLevel="1" collapsed="false">
      <c r="A30" s="14" t="s">
        <v>674</v>
      </c>
      <c r="H30" s="109" t="n">
        <f aca="false">IF(AND(DATE(2026,12,31)&gt;=H$7,DATE(2026,12,31)&lt;=H$6,DATE(2026,12,31)&gt;$C$7),1,0)</f>
        <v>0</v>
      </c>
      <c r="I30" s="109" t="n">
        <f aca="false">IF(AND(DATE(2026,12,31)&gt;=I$7,DATE(2026,12,31)&lt;=I$6,DATE(2026,12,31)&gt;$C$7),1,0)</f>
        <v>0</v>
      </c>
      <c r="J30" s="109" t="n">
        <f aca="false">IF(AND(DATE(2026,12,31)&gt;=J$7,DATE(2026,12,31)&lt;=J$6,DATE(2026,12,31)&gt;$C$7),1,0)</f>
        <v>0</v>
      </c>
      <c r="K30" s="109" t="n">
        <f aca="false">IF(AND(DATE(2026,12,31)&gt;=K$7,DATE(2026,12,31)&lt;=K$6,DATE(2026,12,31)&gt;$C$7),1,0)</f>
        <v>0</v>
      </c>
      <c r="L30" s="109" t="n">
        <f aca="false">IF(AND(DATE(2026,12,31)&gt;=L$7,DATE(2026,12,31)&lt;=L$6,DATE(2026,12,31)&gt;$C$7),1,0)</f>
        <v>0</v>
      </c>
      <c r="M30" s="109" t="n">
        <f aca="false">IF(AND(DATE(2026,12,31)&gt;=M$7,DATE(2026,12,31)&lt;=M$6,DATE(2026,12,31)&gt;$C$7),1,0)</f>
        <v>0</v>
      </c>
      <c r="N30" s="109" t="n">
        <f aca="false">IF(AND(DATE(2026,12,31)&gt;=N$7,DATE(2026,12,31)&lt;=N$6,DATE(2026,12,31)&gt;$C$7),1,0)</f>
        <v>0</v>
      </c>
      <c r="O30" s="109" t="n">
        <f aca="false">IF(AND(DATE(2026,12,31)&gt;=O$7,DATE(2026,12,31)&lt;=O$6,DATE(2026,12,31)&gt;$C$7),1,0)</f>
        <v>0</v>
      </c>
      <c r="P30" s="109" t="n">
        <f aca="false">IF(AND(DATE(2026,12,31)&gt;=P$7,DATE(2026,12,31)&lt;=P$6,DATE(2026,12,31)&gt;$C$7),1,0)</f>
        <v>0</v>
      </c>
      <c r="Q30" s="109" t="n">
        <f aca="false">IF(AND(DATE(2026,12,31)&gt;=Q$7,DATE(2026,12,31)&lt;=Q$6,DATE(2026,12,31)&gt;$C$7),1,0)</f>
        <v>0</v>
      </c>
      <c r="R30" s="109" t="n">
        <f aca="false">IF(AND(DATE(2026,12,31)&gt;=R$7,DATE(2026,12,31)&lt;=R$6,DATE(2026,12,31)&gt;$C$7),1,0)</f>
        <v>0</v>
      </c>
      <c r="S30" s="109" t="n">
        <f aca="false">IF(AND(DATE(2026,12,31)&gt;=S$7,DATE(2026,12,31)&lt;=S$6,DATE(2026,12,31)&gt;$C$7),1,0)</f>
        <v>0</v>
      </c>
      <c r="T30" s="109" t="n">
        <f aca="false">IF(AND(DATE(2026,12,31)&gt;=T$7,DATE(2026,12,31)&lt;=T$6,DATE(2026,12,31)&gt;$C$7),1,0)</f>
        <v>0</v>
      </c>
      <c r="U30" s="109" t="n">
        <f aca="false">SUM(H30:T30)</f>
        <v>0</v>
      </c>
    </row>
    <row r="31" customFormat="false" ht="15" hidden="false" customHeight="false" outlineLevel="1" collapsed="false">
      <c r="A31" s="14" t="s">
        <v>675</v>
      </c>
      <c r="H31" s="109" t="n">
        <f aca="false">IF(AND(DATE(2026,9,1)&gt;=H$7,DATE(2026,9,1)&lt;=H$6,DATE(2026,9,1)&gt;$C$7),1,0)</f>
        <v>0</v>
      </c>
      <c r="I31" s="109" t="n">
        <f aca="false">IF(AND(DATE(2026,9,1)&gt;=I$7,DATE(2026,9,1)&lt;=I$6,DATE(2026,9,1)&gt;$C$7),1,0)</f>
        <v>0</v>
      </c>
      <c r="J31" s="109" t="n">
        <f aca="false">IF(AND(DATE(2026,9,1)&gt;=J$7,DATE(2026,9,1)&lt;=J$6,DATE(2026,9,1)&gt;$C$7),1,0)</f>
        <v>0</v>
      </c>
      <c r="K31" s="109" t="n">
        <f aca="false">IF(AND(DATE(2026,9,1)&gt;=K$7,DATE(2026,9,1)&lt;=K$6,DATE(2026,9,1)&gt;$C$7),1,0)</f>
        <v>0</v>
      </c>
      <c r="L31" s="109" t="n">
        <f aca="false">IF(AND(DATE(2026,9,1)&gt;=L$7,DATE(2026,9,1)&lt;=L$6,DATE(2026,9,1)&gt;$C$7),1,0)</f>
        <v>0</v>
      </c>
      <c r="M31" s="109" t="n">
        <f aca="false">IF(AND(DATE(2026,9,1)&gt;=M$7,DATE(2026,9,1)&lt;=M$6,DATE(2026,9,1)&gt;$C$7),1,0)</f>
        <v>0</v>
      </c>
      <c r="N31" s="109" t="n">
        <f aca="false">IF(AND(DATE(2026,9,1)&gt;=N$7,DATE(2026,9,1)&lt;=N$6,DATE(2026,9,1)&gt;$C$7),1,0)</f>
        <v>0</v>
      </c>
      <c r="O31" s="109" t="n">
        <f aca="false">IF(AND(DATE(2026,9,1)&gt;=O$7,DATE(2026,9,1)&lt;=O$6,DATE(2026,9,1)&gt;$C$7),1,0)</f>
        <v>0</v>
      </c>
      <c r="P31" s="109" t="n">
        <f aca="false">IF(AND(DATE(2026,9,1)&gt;=P$7,DATE(2026,9,1)&lt;=P$6,DATE(2026,9,1)&gt;$C$7),1,0)</f>
        <v>0</v>
      </c>
      <c r="Q31" s="109" t="n">
        <f aca="false">IF(AND(DATE(2026,9,1)&gt;=Q$7,DATE(2026,9,1)&lt;=Q$6,DATE(2026,9,1)&gt;$C$7),1,0)</f>
        <v>0</v>
      </c>
      <c r="R31" s="109" t="n">
        <f aca="false">IF(AND(DATE(2026,9,1)&gt;=R$7,DATE(2026,9,1)&lt;=R$6,DATE(2026,9,1)&gt;$C$7),1,0)</f>
        <v>0</v>
      </c>
      <c r="S31" s="109" t="n">
        <f aca="false">IF(AND(DATE(2026,9,1)&gt;=S$7,DATE(2026,9,1)&lt;=S$6,DATE(2026,9,1)&gt;$C$7),1,0)</f>
        <v>0</v>
      </c>
      <c r="T31" s="109" t="n">
        <f aca="false">IF(AND(DATE(2026,9,1)&gt;=T$7,DATE(2026,9,1)&lt;=T$6,DATE(2026,9,1)&gt;$C$7),1,0)</f>
        <v>0</v>
      </c>
      <c r="U31" s="109" t="n">
        <f aca="false">SUM(H31:T31)</f>
        <v>0</v>
      </c>
    </row>
    <row r="32" customFormat="false" ht="15" hidden="false" customHeight="false" outlineLevel="1" collapsed="false">
      <c r="A32" s="14" t="s">
        <v>676</v>
      </c>
      <c r="H32" s="109" t="n">
        <f aca="false">IF(AND(DATE(2026,10,1)&gt;=H$7,DATE(2026,10,1)&lt;=H$6,DATE(2026,10,1)&gt;$C$7),1,0)</f>
        <v>0</v>
      </c>
      <c r="I32" s="109" t="n">
        <f aca="false">IF(AND(DATE(2026,10,1)&gt;=I$7,DATE(2026,10,1)&lt;=I$6,DATE(2026,10,1)&gt;$C$7),1,0)</f>
        <v>0</v>
      </c>
      <c r="J32" s="109" t="n">
        <f aca="false">IF(AND(DATE(2026,10,1)&gt;=J$7,DATE(2026,10,1)&lt;=J$6,DATE(2026,10,1)&gt;$C$7),1,0)</f>
        <v>1</v>
      </c>
      <c r="K32" s="109" t="n">
        <f aca="false">IF(AND(DATE(2026,10,1)&gt;=K$7,DATE(2026,10,1)&lt;=K$6,DATE(2026,10,1)&gt;$C$7),1,0)</f>
        <v>0</v>
      </c>
      <c r="L32" s="109" t="n">
        <f aca="false">IF(AND(DATE(2026,10,1)&gt;=L$7,DATE(2026,10,1)&lt;=L$6,DATE(2026,10,1)&gt;$C$7),1,0)</f>
        <v>0</v>
      </c>
      <c r="M32" s="109" t="n">
        <f aca="false">IF(AND(DATE(2026,10,1)&gt;=M$7,DATE(2026,10,1)&lt;=M$6,DATE(2026,10,1)&gt;$C$7),1,0)</f>
        <v>0</v>
      </c>
      <c r="N32" s="109" t="n">
        <f aca="false">IF(AND(DATE(2026,10,1)&gt;=N$7,DATE(2026,10,1)&lt;=N$6,DATE(2026,10,1)&gt;$C$7),1,0)</f>
        <v>0</v>
      </c>
      <c r="O32" s="109" t="n">
        <f aca="false">IF(AND(DATE(2026,10,1)&gt;=O$7,DATE(2026,10,1)&lt;=O$6,DATE(2026,10,1)&gt;$C$7),1,0)</f>
        <v>0</v>
      </c>
      <c r="P32" s="109" t="n">
        <f aca="false">IF(AND(DATE(2026,10,1)&gt;=P$7,DATE(2026,10,1)&lt;=P$6,DATE(2026,10,1)&gt;$C$7),1,0)</f>
        <v>0</v>
      </c>
      <c r="Q32" s="109" t="n">
        <f aca="false">IF(AND(DATE(2026,10,1)&gt;=Q$7,DATE(2026,10,1)&lt;=Q$6,DATE(2026,10,1)&gt;$C$7),1,0)</f>
        <v>0</v>
      </c>
      <c r="R32" s="109" t="n">
        <f aca="false">IF(AND(DATE(2026,10,1)&gt;=R$7,DATE(2026,10,1)&lt;=R$6,DATE(2026,10,1)&gt;$C$7),1,0)</f>
        <v>0</v>
      </c>
      <c r="S32" s="109" t="n">
        <f aca="false">IF(AND(DATE(2026,10,1)&gt;=S$7,DATE(2026,10,1)&lt;=S$6,DATE(2026,10,1)&gt;$C$7),1,0)</f>
        <v>0</v>
      </c>
      <c r="T32" s="109" t="n">
        <f aca="false">IF(AND(DATE(2026,10,1)&gt;=T$7,DATE(2026,10,1)&lt;=T$6,DATE(2026,10,1)&gt;$C$7),1,0)</f>
        <v>0</v>
      </c>
      <c r="U32" s="109" t="n">
        <f aca="false">SUM(H32:T32)</f>
        <v>1</v>
      </c>
    </row>
    <row r="33" customFormat="false" ht="15" hidden="false" customHeight="false" outlineLevel="1" collapsed="false">
      <c r="A33" s="14" t="s">
        <v>677</v>
      </c>
      <c r="H33" s="109" t="n">
        <f aca="false">IF(AND(DATE(2026,11,2)&gt;=H$7,DATE(2026,11,2)&lt;=H$6,DATE(2026,11,2)&gt;$C$7),1,0)</f>
        <v>0</v>
      </c>
      <c r="I33" s="109" t="n">
        <f aca="false">IF(AND(DATE(2026,11,2)&gt;=I$7,DATE(2026,11,2)&lt;=I$6,DATE(2026,11,2)&gt;$C$7),1,0)</f>
        <v>0</v>
      </c>
      <c r="J33" s="109" t="n">
        <f aca="false">IF(AND(DATE(2026,11,2)&gt;=J$7,DATE(2026,11,2)&lt;=J$6,DATE(2026,11,2)&gt;$C$7),1,0)</f>
        <v>0</v>
      </c>
      <c r="K33" s="109" t="n">
        <f aca="false">IF(AND(DATE(2026,11,2)&gt;=K$7,DATE(2026,11,2)&lt;=K$6,DATE(2026,11,2)&gt;$C$7),1,0)</f>
        <v>0</v>
      </c>
      <c r="L33" s="109" t="n">
        <f aca="false">IF(AND(DATE(2026,11,2)&gt;=L$7,DATE(2026,11,2)&lt;=L$6,DATE(2026,11,2)&gt;$C$7),1,0)</f>
        <v>0</v>
      </c>
      <c r="M33" s="109" t="n">
        <f aca="false">IF(AND(DATE(2026,11,2)&gt;=M$7,DATE(2026,11,2)&lt;=M$6,DATE(2026,11,2)&gt;$C$7),1,0)</f>
        <v>0</v>
      </c>
      <c r="N33" s="109" t="n">
        <f aca="false">IF(AND(DATE(2026,11,2)&gt;=N$7,DATE(2026,11,2)&lt;=N$6,DATE(2026,11,2)&gt;$C$7),1,0)</f>
        <v>0</v>
      </c>
      <c r="O33" s="109" t="n">
        <f aca="false">IF(AND(DATE(2026,11,2)&gt;=O$7,DATE(2026,11,2)&lt;=O$6,DATE(2026,11,2)&gt;$C$7),1,0)</f>
        <v>1</v>
      </c>
      <c r="P33" s="109" t="n">
        <f aca="false">IF(AND(DATE(2026,11,2)&gt;=P$7,DATE(2026,11,2)&lt;=P$6,DATE(2026,11,2)&gt;$C$7),1,0)</f>
        <v>0</v>
      </c>
      <c r="Q33" s="109" t="n">
        <f aca="false">IF(AND(DATE(2026,11,2)&gt;=Q$7,DATE(2026,11,2)&lt;=Q$6,DATE(2026,11,2)&gt;$C$7),1,0)</f>
        <v>0</v>
      </c>
      <c r="R33" s="109" t="n">
        <f aca="false">IF(AND(DATE(2026,11,2)&gt;=R$7,DATE(2026,11,2)&lt;=R$6,DATE(2026,11,2)&gt;$C$7),1,0)</f>
        <v>0</v>
      </c>
      <c r="S33" s="109" t="n">
        <f aca="false">IF(AND(DATE(2026,11,2)&gt;=S$7,DATE(2026,11,2)&lt;=S$6,DATE(2026,11,2)&gt;$C$7),1,0)</f>
        <v>0</v>
      </c>
      <c r="T33" s="109" t="n">
        <f aca="false">IF(AND(DATE(2026,11,2)&gt;=T$7,DATE(2026,11,2)&lt;=T$6,DATE(2026,11,2)&gt;$C$7),1,0)</f>
        <v>0</v>
      </c>
      <c r="U33" s="109" t="n">
        <f aca="false">SUM(H33:T33)</f>
        <v>1</v>
      </c>
    </row>
    <row r="34" customFormat="false" ht="15" hidden="false" customHeight="false" outlineLevel="1" collapsed="false">
      <c r="A34" s="14" t="s">
        <v>678</v>
      </c>
      <c r="H34" s="109" t="n">
        <f aca="false">IF(AND(DATE(2026,12,1)&gt;=H$7,DATE(2026,12,1)&lt;=H$6,DATE(2026,12,1)&gt;$C$7),1,0)</f>
        <v>0</v>
      </c>
      <c r="I34" s="109" t="n">
        <f aca="false">IF(AND(DATE(2026,12,1)&gt;=I$7,DATE(2026,12,1)&lt;=I$6,DATE(2026,12,1)&gt;$C$7),1,0)</f>
        <v>0</v>
      </c>
      <c r="J34" s="109" t="n">
        <f aca="false">IF(AND(DATE(2026,12,1)&gt;=J$7,DATE(2026,12,1)&lt;=J$6,DATE(2026,12,1)&gt;$C$7),1,0)</f>
        <v>0</v>
      </c>
      <c r="K34" s="109" t="n">
        <f aca="false">IF(AND(DATE(2026,12,1)&gt;=K$7,DATE(2026,12,1)&lt;=K$6,DATE(2026,12,1)&gt;$C$7),1,0)</f>
        <v>0</v>
      </c>
      <c r="L34" s="109" t="n">
        <f aca="false">IF(AND(DATE(2026,12,1)&gt;=L$7,DATE(2026,12,1)&lt;=L$6,DATE(2026,12,1)&gt;$C$7),1,0)</f>
        <v>0</v>
      </c>
      <c r="M34" s="109" t="n">
        <f aca="false">IF(AND(DATE(2026,12,1)&gt;=M$7,DATE(2026,12,1)&lt;=M$6,DATE(2026,12,1)&gt;$C$7),1,0)</f>
        <v>0</v>
      </c>
      <c r="N34" s="109" t="n">
        <f aca="false">IF(AND(DATE(2026,12,1)&gt;=N$7,DATE(2026,12,1)&lt;=N$6,DATE(2026,12,1)&gt;$C$7),1,0)</f>
        <v>0</v>
      </c>
      <c r="O34" s="109" t="n">
        <f aca="false">IF(AND(DATE(2026,12,1)&gt;=O$7,DATE(2026,12,1)&lt;=O$6,DATE(2026,12,1)&gt;$C$7),1,0)</f>
        <v>0</v>
      </c>
      <c r="P34" s="109" t="n">
        <f aca="false">IF(AND(DATE(2026,12,1)&gt;=P$7,DATE(2026,12,1)&lt;=P$6,DATE(2026,12,1)&gt;$C$7),1,0)</f>
        <v>0</v>
      </c>
      <c r="Q34" s="109" t="n">
        <f aca="false">IF(AND(DATE(2026,12,1)&gt;=Q$7,DATE(2026,12,1)&lt;=Q$6,DATE(2026,12,1)&gt;$C$7),1,0)</f>
        <v>0</v>
      </c>
      <c r="R34" s="109" t="n">
        <f aca="false">IF(AND(DATE(2026,12,1)&gt;=R$7,DATE(2026,12,1)&lt;=R$6,DATE(2026,12,1)&gt;$C$7),1,0)</f>
        <v>0</v>
      </c>
      <c r="S34" s="109" t="n">
        <f aca="false">IF(AND(DATE(2026,12,1)&gt;=S$7,DATE(2026,12,1)&lt;=S$6,DATE(2026,12,1)&gt;$C$7),1,0)</f>
        <v>1</v>
      </c>
      <c r="T34" s="109" t="n">
        <f aca="false">IF(AND(DATE(2026,12,1)&gt;=T$7,DATE(2026,12,1)&lt;=T$6,DATE(2026,12,1)&gt;$C$7),1,0)</f>
        <v>0</v>
      </c>
      <c r="U34" s="109" t="n">
        <f aca="false">SUM(H34:T34)</f>
        <v>1</v>
      </c>
    </row>
    <row r="35" customFormat="false" ht="15" hidden="false" customHeight="false" outlineLevel="1" collapsed="false">
      <c r="A35" s="14" t="s">
        <v>679</v>
      </c>
      <c r="H35" s="109" t="n">
        <f aca="false">IF(AND(Assumptions!M$188&gt;=H$7,Assumptions!M$188&lt;=H$6,Assumptions!M$188&gt;$C$7),1,0)</f>
        <v>0</v>
      </c>
      <c r="I35" s="109" t="n">
        <f aca="false">IF(AND(Assumptions!M$188&gt;=I$7,Assumptions!M$188&lt;=I$6,Assumptions!M$188&gt;$C$7),1,0)</f>
        <v>0</v>
      </c>
      <c r="J35" s="109" t="n">
        <f aca="false">IF(AND(Assumptions!M$188&gt;=J$7,Assumptions!M$188&lt;=J$6,Assumptions!M$188&gt;$C$7),1,0)</f>
        <v>1</v>
      </c>
      <c r="K35" s="109" t="n">
        <f aca="false">IF(AND(Assumptions!M$188&gt;=K$7,Assumptions!M$188&lt;=K$6,Assumptions!M$188&gt;$C$7),1,0)</f>
        <v>0</v>
      </c>
      <c r="L35" s="109" t="n">
        <f aca="false">IF(AND(Assumptions!M$188&gt;=L$7,Assumptions!M$188&lt;=L$6,Assumptions!M$188&gt;$C$7),1,0)</f>
        <v>0</v>
      </c>
      <c r="M35" s="109" t="n">
        <f aca="false">IF(AND(Assumptions!M$188&gt;=M$7,Assumptions!M$188&lt;=M$6,Assumptions!M$188&gt;$C$7),1,0)</f>
        <v>0</v>
      </c>
      <c r="N35" s="109" t="n">
        <f aca="false">IF(AND(Assumptions!M$188&gt;=N$7,Assumptions!M$188&lt;=N$6,Assumptions!M$188&gt;$C$7),1,0)</f>
        <v>0</v>
      </c>
      <c r="O35" s="109" t="n">
        <f aca="false">IF(AND(Assumptions!M$188&gt;=O$7,Assumptions!M$188&lt;=O$6,Assumptions!M$188&gt;$C$7),1,0)</f>
        <v>0</v>
      </c>
      <c r="P35" s="109" t="n">
        <f aca="false">IF(AND(Assumptions!M$188&gt;=P$7,Assumptions!M$188&lt;=P$6,Assumptions!M$188&gt;$C$7),1,0)</f>
        <v>0</v>
      </c>
      <c r="Q35" s="109" t="n">
        <f aca="false">IF(AND(Assumptions!M$188&gt;=Q$7,Assumptions!M$188&lt;=Q$6,Assumptions!M$188&gt;$C$7),1,0)</f>
        <v>0</v>
      </c>
      <c r="R35" s="109" t="n">
        <f aca="false">IF(AND(Assumptions!M$188&gt;=R$7,Assumptions!M$188&lt;=R$6,Assumptions!M$188&gt;$C$7),1,0)</f>
        <v>0</v>
      </c>
      <c r="S35" s="109" t="n">
        <f aca="false">IF(AND(Assumptions!M$188&gt;=S$7,Assumptions!M$188&lt;=S$6,Assumptions!M$188&gt;$C$7),1,0)</f>
        <v>0</v>
      </c>
      <c r="T35" s="109" t="n">
        <f aca="false">IF(AND(Assumptions!M$188&gt;=T$7,Assumptions!M$188&lt;=T$6,Assumptions!M$188&gt;$C$7),1,0)</f>
        <v>0</v>
      </c>
      <c r="U35" s="109" t="n">
        <f aca="false">SUM(H35:T35)</f>
        <v>1</v>
      </c>
    </row>
    <row r="36" customFormat="false" ht="15" hidden="false" customHeight="false" outlineLevel="1" collapsed="false">
      <c r="A36" s="14" t="s">
        <v>680</v>
      </c>
      <c r="H36" s="109" t="n">
        <f aca="false">IF(AND(Assumptions!N$188&gt;=H$7,Assumptions!N$188&lt;=H$6,Assumptions!N$188&gt;$C$7),1,0)</f>
        <v>0</v>
      </c>
      <c r="I36" s="109" t="n">
        <f aca="false">IF(AND(Assumptions!N$188&gt;=I$7,Assumptions!N$188&lt;=I$6,Assumptions!N$188&gt;$C$7),1,0)</f>
        <v>0</v>
      </c>
      <c r="J36" s="109" t="n">
        <f aca="false">IF(AND(Assumptions!N$188&gt;=J$7,Assumptions!N$188&lt;=J$6,Assumptions!N$188&gt;$C$7),1,0)</f>
        <v>0</v>
      </c>
      <c r="K36" s="109" t="n">
        <f aca="false">IF(AND(Assumptions!N$188&gt;=K$7,Assumptions!N$188&lt;=K$6,Assumptions!N$188&gt;$C$7),1,0)</f>
        <v>0</v>
      </c>
      <c r="L36" s="109" t="n">
        <f aca="false">IF(AND(Assumptions!N$188&gt;=L$7,Assumptions!N$188&lt;=L$6,Assumptions!N$188&gt;$C$7),1,0)</f>
        <v>0</v>
      </c>
      <c r="M36" s="109" t="n">
        <f aca="false">IF(AND(Assumptions!N$188&gt;=M$7,Assumptions!N$188&lt;=M$6,Assumptions!N$188&gt;$C$7),1,0)</f>
        <v>0</v>
      </c>
      <c r="N36" s="109" t="n">
        <f aca="false">IF(AND(Assumptions!N$188&gt;=N$7,Assumptions!N$188&lt;=N$6,Assumptions!N$188&gt;$C$7),1,0)</f>
        <v>0</v>
      </c>
      <c r="O36" s="109" t="n">
        <f aca="false">IF(AND(Assumptions!N$188&gt;=O$7,Assumptions!N$188&lt;=O$6,Assumptions!N$188&gt;$C$7),1,0)</f>
        <v>1</v>
      </c>
      <c r="P36" s="109" t="n">
        <f aca="false">IF(AND(Assumptions!N$188&gt;=P$7,Assumptions!N$188&lt;=P$6,Assumptions!N$188&gt;$C$7),1,0)</f>
        <v>0</v>
      </c>
      <c r="Q36" s="109" t="n">
        <f aca="false">IF(AND(Assumptions!N$188&gt;=Q$7,Assumptions!N$188&lt;=Q$6,Assumptions!N$188&gt;$C$7),1,0)</f>
        <v>0</v>
      </c>
      <c r="R36" s="109" t="n">
        <f aca="false">IF(AND(Assumptions!N$188&gt;=R$7,Assumptions!N$188&lt;=R$6,Assumptions!N$188&gt;$C$7),1,0)</f>
        <v>0</v>
      </c>
      <c r="S36" s="109" t="n">
        <f aca="false">IF(AND(Assumptions!N$188&gt;=S$7,Assumptions!N$188&lt;=S$6,Assumptions!N$188&gt;$C$7),1,0)</f>
        <v>0</v>
      </c>
      <c r="T36" s="109" t="n">
        <f aca="false">IF(AND(Assumptions!N$188&gt;=T$7,Assumptions!N$188&lt;=T$6,Assumptions!N$188&gt;$C$7),1,0)</f>
        <v>0</v>
      </c>
      <c r="U36" s="109" t="n">
        <f aca="false">SUM(H36:T36)</f>
        <v>1</v>
      </c>
    </row>
    <row r="37" customFormat="false" ht="15" hidden="false" customHeight="false" outlineLevel="1" collapsed="false">
      <c r="A37" s="14" t="s">
        <v>681</v>
      </c>
      <c r="H37" s="109" t="n">
        <f aca="false">IF(AND(Assumptions!O$188&gt;=H$7,Assumptions!O$188&lt;=H$6,Assumptions!O$188&gt;$C$7),1,0)</f>
        <v>0</v>
      </c>
      <c r="I37" s="109" t="n">
        <f aca="false">IF(AND(Assumptions!O$188&gt;=I$7,Assumptions!O$188&lt;=I$6,Assumptions!O$188&gt;$C$7),1,0)</f>
        <v>0</v>
      </c>
      <c r="J37" s="109" t="n">
        <f aca="false">IF(AND(Assumptions!O$188&gt;=J$7,Assumptions!O$188&lt;=J$6,Assumptions!O$188&gt;$C$7),1,0)</f>
        <v>0</v>
      </c>
      <c r="K37" s="109" t="n">
        <f aca="false">IF(AND(Assumptions!O$188&gt;=K$7,Assumptions!O$188&lt;=K$6,Assumptions!O$188&gt;$C$7),1,0)</f>
        <v>0</v>
      </c>
      <c r="L37" s="109" t="n">
        <f aca="false">IF(AND(Assumptions!O$188&gt;=L$7,Assumptions!O$188&lt;=L$6,Assumptions!O$188&gt;$C$7),1,0)</f>
        <v>0</v>
      </c>
      <c r="M37" s="109" t="n">
        <f aca="false">IF(AND(Assumptions!O$188&gt;=M$7,Assumptions!O$188&lt;=M$6,Assumptions!O$188&gt;$C$7),1,0)</f>
        <v>0</v>
      </c>
      <c r="N37" s="109" t="n">
        <f aca="false">IF(AND(Assumptions!O$188&gt;=N$7,Assumptions!O$188&lt;=N$6,Assumptions!O$188&gt;$C$7),1,0)</f>
        <v>0</v>
      </c>
      <c r="O37" s="109" t="n">
        <f aca="false">IF(AND(Assumptions!O$188&gt;=O$7,Assumptions!O$188&lt;=O$6,Assumptions!O$188&gt;$C$7),1,0)</f>
        <v>0</v>
      </c>
      <c r="P37" s="109" t="n">
        <f aca="false">IF(AND(Assumptions!O$188&gt;=P$7,Assumptions!O$188&lt;=P$6,Assumptions!O$188&gt;$C$7),1,0)</f>
        <v>0</v>
      </c>
      <c r="Q37" s="109" t="n">
        <f aca="false">IF(AND(Assumptions!O$188&gt;=Q$7,Assumptions!O$188&lt;=Q$6,Assumptions!O$188&gt;$C$7),1,0)</f>
        <v>0</v>
      </c>
      <c r="R37" s="109" t="n">
        <f aca="false">IF(AND(Assumptions!O$188&gt;=R$7,Assumptions!O$188&lt;=R$6,Assumptions!O$188&gt;$C$7),1,0)</f>
        <v>0</v>
      </c>
      <c r="S37" s="109" t="n">
        <f aca="false">IF(AND(Assumptions!O$188&gt;=S$7,Assumptions!O$188&lt;=S$6,Assumptions!O$188&gt;$C$7),1,0)</f>
        <v>1</v>
      </c>
      <c r="T37" s="109" t="n">
        <f aca="false">IF(AND(Assumptions!O$188&gt;=T$7,Assumptions!O$188&lt;=T$6,Assumptions!O$188&gt;$C$7),1,0)</f>
        <v>0</v>
      </c>
      <c r="U37" s="109" t="n">
        <f aca="false">SUM(H37:T37)</f>
        <v>1</v>
      </c>
    </row>
    <row r="38" customFormat="false" ht="15" hidden="false" customHeight="false" outlineLevel="1" collapsed="false">
      <c r="A38" s="14" t="s">
        <v>682</v>
      </c>
      <c r="H38" s="109" t="n">
        <f aca="false">IF(AND(Assumptions!P$188&gt;=H$7,Assumptions!P$188&lt;=H$6,Assumptions!P$188&gt;$C$7),1,0)</f>
        <v>0</v>
      </c>
      <c r="I38" s="109" t="n">
        <f aca="false">IF(AND(Assumptions!P$188&gt;=I$7,Assumptions!P$188&lt;=I$6,Assumptions!P$188&gt;$C$7),1,0)</f>
        <v>0</v>
      </c>
      <c r="J38" s="109" t="n">
        <f aca="false">IF(AND(Assumptions!P$188&gt;=J$7,Assumptions!P$188&lt;=J$6,Assumptions!P$188&gt;$C$7),1,0)</f>
        <v>0</v>
      </c>
      <c r="K38" s="109" t="n">
        <f aca="false">IF(AND(Assumptions!P$188&gt;=K$7,Assumptions!P$188&lt;=K$6,Assumptions!P$188&gt;$C$7),1,0)</f>
        <v>0</v>
      </c>
      <c r="L38" s="109" t="n">
        <f aca="false">IF(AND(Assumptions!P$188&gt;=L$7,Assumptions!P$188&lt;=L$6,Assumptions!P$188&gt;$C$7),1,0)</f>
        <v>0</v>
      </c>
      <c r="M38" s="109" t="n">
        <f aca="false">IF(AND(Assumptions!P$188&gt;=M$7,Assumptions!P$188&lt;=M$6,Assumptions!P$188&gt;$C$7),1,0)</f>
        <v>0</v>
      </c>
      <c r="N38" s="109" t="n">
        <f aca="false">IF(AND(Assumptions!P$188&gt;=N$7,Assumptions!P$188&lt;=N$6,Assumptions!P$188&gt;$C$7),1,0)</f>
        <v>0</v>
      </c>
      <c r="O38" s="109" t="n">
        <f aca="false">IF(AND(Assumptions!P$188&gt;=O$7,Assumptions!P$188&lt;=O$6,Assumptions!P$188&gt;$C$7),1,0)</f>
        <v>0</v>
      </c>
      <c r="P38" s="109" t="n">
        <f aca="false">IF(AND(Assumptions!P$188&gt;=P$7,Assumptions!P$188&lt;=P$6,Assumptions!P$188&gt;$C$7),1,0)</f>
        <v>0</v>
      </c>
      <c r="Q38" s="109" t="n">
        <f aca="false">IF(AND(Assumptions!P$188&gt;=Q$7,Assumptions!P$188&lt;=Q$6,Assumptions!P$188&gt;$C$7),1,0)</f>
        <v>0</v>
      </c>
      <c r="R38" s="109" t="n">
        <f aca="false">IF(AND(Assumptions!P$188&gt;=R$7,Assumptions!P$188&lt;=R$6,Assumptions!P$188&gt;$C$7),1,0)</f>
        <v>0</v>
      </c>
      <c r="S38" s="109" t="n">
        <f aca="false">IF(AND(Assumptions!P$188&gt;=S$7,Assumptions!P$188&lt;=S$6,Assumptions!P$188&gt;$C$7),1,0)</f>
        <v>0</v>
      </c>
      <c r="T38" s="109" t="n">
        <f aca="false">IF(AND(Assumptions!P$188&gt;=T$7,Assumptions!P$188&lt;=T$6,Assumptions!P$188&gt;$C$7),1,0)</f>
        <v>0</v>
      </c>
      <c r="U38" s="109" t="n">
        <f aca="false">SUM(H38:T38)</f>
        <v>0</v>
      </c>
    </row>
    <row r="40" customFormat="false" ht="15" hidden="false" customHeight="false" outlineLevel="0" collapsed="false">
      <c r="A40" s="22" t="s">
        <v>683</v>
      </c>
      <c r="B40" s="23"/>
      <c r="C40" s="23"/>
      <c r="D40" s="23"/>
      <c r="E40" s="23"/>
      <c r="F40" s="23"/>
      <c r="G40" s="23"/>
      <c r="H40" s="23"/>
      <c r="I40" s="23"/>
      <c r="J40" s="23"/>
      <c r="K40" s="23"/>
      <c r="L40" s="23"/>
      <c r="M40" s="23"/>
      <c r="N40" s="23"/>
      <c r="O40" s="23"/>
      <c r="P40" s="23"/>
      <c r="Q40" s="23"/>
      <c r="R40" s="23"/>
      <c r="S40" s="23"/>
      <c r="T40" s="23"/>
      <c r="U40" s="23"/>
      <c r="V40" s="23"/>
      <c r="W40" s="23"/>
    </row>
    <row r="41" customFormat="false" ht="15" hidden="false" customHeight="false" outlineLevel="0" collapsed="false">
      <c r="A41" s="28" t="s">
        <v>684</v>
      </c>
      <c r="B41" s="63" t="s">
        <v>685</v>
      </c>
      <c r="C41" s="110" t="n">
        <v>79985</v>
      </c>
      <c r="D41" s="65" t="n">
        <f aca="false">Receivables!M11</f>
        <v>218141.723883203</v>
      </c>
      <c r="E41" s="65" t="n">
        <f aca="false">Receivables!N11</f>
        <v>222427.099441358</v>
      </c>
      <c r="F41" s="65" t="n">
        <f aca="false">Receivables!O11</f>
        <v>225948.009960741</v>
      </c>
      <c r="G41" s="65" t="n">
        <f aca="false">Receivables!P11</f>
        <v>228206.18868918</v>
      </c>
      <c r="H41" s="74" t="n">
        <f aca="false">(D41-$C41)*H$11+E41*H$12+F41*H$13+G41*H$14</f>
        <v>50899.84564118</v>
      </c>
      <c r="I41" s="74" t="n">
        <f aca="false">(D41-$C41)*I$11+E41*I$12+F41*I$13+G41*I$14</f>
        <v>50899.84564118</v>
      </c>
      <c r="J41" s="74" t="n">
        <f aca="false">(D41-$C41)*J$11+E41*J$12+F41*J$13+G41*J$14</f>
        <v>50707.1680486724</v>
      </c>
      <c r="K41" s="74" t="n">
        <f aca="false">(D41-$C41)*K$11+E41*K$12+F41*K$13+G41*K$14</f>
        <v>50225.4740674034</v>
      </c>
      <c r="L41" s="74" t="n">
        <f aca="false">(D41-$C41)*L$11+E41*L$12+F41*L$13+G41*L$14</f>
        <v>50225.4740674034</v>
      </c>
      <c r="M41" s="74" t="n">
        <f aca="false">(D41-$C41)*M$11+E41*M$12+F41*M$13+G41*M$14</f>
        <v>50225.4740674034</v>
      </c>
      <c r="N41" s="74" t="n">
        <f aca="false">(D41-$C41)*N$11+E41*N$12+F41*N$13+G41*N$14</f>
        <v>50225.4740674034</v>
      </c>
      <c r="O41" s="74" t="n">
        <f aca="false">(D41-$C41)*O$11+E41*O$12+F41*O$13+G41*O$14</f>
        <v>52364.669716063</v>
      </c>
      <c r="P41" s="74" t="n">
        <f aca="false">(D41-$C41)*P$11+E41*P$12+F41*P$13+G41*P$14</f>
        <v>52721.202324173</v>
      </c>
      <c r="Q41" s="74" t="n">
        <f aca="false">(D41-$C41)*Q$11+E41*Q$12+F41*Q$13+G41*Q$14</f>
        <v>52721.202324173</v>
      </c>
      <c r="R41" s="74" t="n">
        <f aca="false">(D41-$C41)*R$11+E41*R$12+F41*R$13+G41*R$14</f>
        <v>52721.202324173</v>
      </c>
      <c r="S41" s="74" t="n">
        <f aca="false">(D41-$C41)*S$11+E41*S$12+F41*S$13+G41*S$14</f>
        <v>52040.760826936</v>
      </c>
      <c r="T41" s="74" t="n">
        <f aca="false">(D41-$C41)*T$11+E41*T$12+F41*T$13+G41*T$14</f>
        <v>51530.4297040083</v>
      </c>
      <c r="U41" s="64" t="n">
        <f aca="false">SUM(H41:T41)</f>
        <v>667508.222820172</v>
      </c>
      <c r="V41" s="111" t="n">
        <f aca="false">SUM(H$14:T$14)</f>
        <v>0.354838709677419</v>
      </c>
      <c r="W41" s="29" t="n">
        <f aca="false">G41*(1-V41)</f>
        <v>147229.79915431</v>
      </c>
    </row>
    <row r="42" customFormat="false" ht="15" hidden="false" customHeight="false" outlineLevel="0" collapsed="false">
      <c r="A42" s="28" t="s">
        <v>686</v>
      </c>
      <c r="B42" s="63" t="s">
        <v>685</v>
      </c>
      <c r="C42" s="110" t="n">
        <v>75442</v>
      </c>
      <c r="D42" s="65" t="n">
        <f aca="false">Receivables!M16</f>
        <v>205750.822594</v>
      </c>
      <c r="E42" s="65" t="n">
        <f aca="false">Receivables!N16</f>
        <v>231543.31254105</v>
      </c>
      <c r="F42" s="65" t="n">
        <f aca="false">Receivables!O16</f>
        <v>221473.132658743</v>
      </c>
      <c r="G42" s="65" t="n">
        <f aca="false">Receivables!P16</f>
        <v>229731.505287607</v>
      </c>
      <c r="H42" s="74" t="n">
        <f aca="false">(D42-$C42)*H$11+E42*H$12+F42*H$13+G42*H$14</f>
        <v>48008.5135872632</v>
      </c>
      <c r="I42" s="74" t="n">
        <f aca="false">(D42-$C42)*I$11+E42*I$12+F42*I$13+G42*I$14</f>
        <v>48008.5135872632</v>
      </c>
      <c r="J42" s="74" t="n">
        <f aca="false">(D42-$C42)*J$11+E42*J$12+F42*J$13+G42*J$14</f>
        <v>49230.0736479285</v>
      </c>
      <c r="K42" s="74" t="n">
        <f aca="false">(D42-$C42)*K$11+E42*K$12+F42*K$13+G42*K$14</f>
        <v>52283.9737995919</v>
      </c>
      <c r="L42" s="74" t="n">
        <f aca="false">(D42-$C42)*L$11+E42*L$12+F42*L$13+G42*L$14</f>
        <v>52283.9737995919</v>
      </c>
      <c r="M42" s="74" t="n">
        <f aca="false">(D42-$C42)*M$11+E42*M$12+F42*M$13+G42*M$14</f>
        <v>52283.9737995919</v>
      </c>
      <c r="N42" s="74" t="n">
        <f aca="false">(D42-$C42)*N$11+E42*N$12+F42*N$13+G42*N$14</f>
        <v>52283.9737995919</v>
      </c>
      <c r="O42" s="74" t="n">
        <f aca="false">(D42-$C42)*O$11+E42*O$12+F42*O$13+G42*O$14</f>
        <v>51763.7656459761</v>
      </c>
      <c r="P42" s="74" t="n">
        <f aca="false">(D42-$C42)*P$11+E42*P$12+F42*P$13+G42*P$14</f>
        <v>51677.0642870401</v>
      </c>
      <c r="Q42" s="74" t="n">
        <f aca="false">(D42-$C42)*Q$11+E42*Q$12+F42*Q$13+G42*Q$14</f>
        <v>51677.0642870401</v>
      </c>
      <c r="R42" s="74" t="n">
        <f aca="false">(D42-$C42)*R$11+E42*R$12+F42*R$13+G42*R$14</f>
        <v>51677.0642870401</v>
      </c>
      <c r="S42" s="74" t="n">
        <f aca="false">(D42-$C42)*S$11+E42*S$12+F42*S$13+G42*S$14</f>
        <v>51790.0881416946</v>
      </c>
      <c r="T42" s="74" t="n">
        <f aca="false">(D42-$C42)*T$11+E42*T$12+F42*T$13+G42*T$14</f>
        <v>51874.8560326855</v>
      </c>
      <c r="U42" s="64" t="n">
        <f aca="false">SUM(H42:T42)</f>
        <v>664842.898702299</v>
      </c>
      <c r="V42" s="111" t="n">
        <f aca="false">SUM(H$14:T$14)</f>
        <v>0.354838709677419</v>
      </c>
      <c r="W42" s="29" t="n">
        <f aca="false">G42*(1-V42)</f>
        <v>148213.874379101</v>
      </c>
    </row>
    <row r="43" customFormat="false" ht="15" hidden="false" customHeight="false" outlineLevel="0" collapsed="false">
      <c r="A43" s="28" t="s">
        <v>687</v>
      </c>
      <c r="B43" s="63" t="s">
        <v>688</v>
      </c>
      <c r="C43" s="29" t="n">
        <v>0</v>
      </c>
      <c r="D43" s="65" t="n">
        <f aca="false">Receivables!M26</f>
        <v>97525.8024</v>
      </c>
      <c r="E43" s="65" t="n">
        <f aca="false">Receivables!N26</f>
        <v>145770.72603056</v>
      </c>
      <c r="F43" s="65" t="n">
        <f aca="false">Receivables!O26</f>
        <v>209909.138530192</v>
      </c>
      <c r="G43" s="65" t="n">
        <f aca="false">Receivables!P26</f>
        <v>179426.776274368</v>
      </c>
      <c r="H43" s="74" t="n">
        <f aca="false">(D43-$C43)*H$23+E43*H$24+F43*H$25+G43*H$26</f>
        <v>0</v>
      </c>
      <c r="I43" s="74" t="n">
        <f aca="false">(D43-$C43)*I$23+E43*I$24+F43*I$25+G43*I$26</f>
        <v>97525.8024</v>
      </c>
      <c r="J43" s="74" t="n">
        <f aca="false">(D43-$C43)*J$23+E43*J$24+F43*J$25+G43*J$26</f>
        <v>0</v>
      </c>
      <c r="K43" s="74" t="n">
        <f aca="false">(D43-$C43)*K$23+E43*K$24+F43*K$25+G43*K$26</f>
        <v>0</v>
      </c>
      <c r="L43" s="74" t="n">
        <f aca="false">(D43-$C43)*L$23+E43*L$24+F43*L$25+G43*L$26</f>
        <v>0</v>
      </c>
      <c r="M43" s="74" t="n">
        <f aca="false">(D43-$C43)*M$23+E43*M$24+F43*M$25+G43*M$26</f>
        <v>0</v>
      </c>
      <c r="N43" s="74" t="n">
        <f aca="false">(D43-$C43)*N$23+E43*N$24+F43*N$25+G43*N$26</f>
        <v>145770.72603056</v>
      </c>
      <c r="O43" s="74" t="n">
        <f aca="false">(D43-$C43)*O$23+E43*O$24+F43*O$25+G43*O$26</f>
        <v>0</v>
      </c>
      <c r="P43" s="74" t="n">
        <f aca="false">(D43-$C43)*P$23+E43*P$24+F43*P$25+G43*P$26</f>
        <v>0</v>
      </c>
      <c r="Q43" s="74" t="n">
        <f aca="false">(D43-$C43)*Q$23+E43*Q$24+F43*Q$25+G43*Q$26</f>
        <v>0</v>
      </c>
      <c r="R43" s="74" t="n">
        <f aca="false">(D43-$C43)*R$23+E43*R$24+F43*R$25+G43*R$26</f>
        <v>209909.138530192</v>
      </c>
      <c r="S43" s="74" t="n">
        <f aca="false">(D43-$C43)*S$23+E43*S$24+F43*S$25+G43*S$26</f>
        <v>0</v>
      </c>
      <c r="T43" s="74" t="n">
        <f aca="false">(D43-$C43)*T$23+E43*T$24+F43*T$25+G43*T$26</f>
        <v>0</v>
      </c>
      <c r="U43" s="64" t="n">
        <f aca="false">SUM(H43:T43)</f>
        <v>453205.666960752</v>
      </c>
      <c r="V43" s="111" t="n">
        <f aca="false">SUM(H$26:T$26)</f>
        <v>0</v>
      </c>
      <c r="W43" s="29" t="n">
        <f aca="false">G43*(1-V43)</f>
        <v>179426.776274368</v>
      </c>
    </row>
    <row r="44" customFormat="false" ht="15" hidden="false" customHeight="false" outlineLevel="0" collapsed="false">
      <c r="A44" s="76" t="s">
        <v>689</v>
      </c>
      <c r="B44" s="112" t="s">
        <v>690</v>
      </c>
      <c r="C44" s="113" t="n">
        <f aca="false">C41+C42+C43</f>
        <v>155427</v>
      </c>
      <c r="D44" s="114" t="n">
        <f aca="false">D41+D42+D43</f>
        <v>521418.348877203</v>
      </c>
      <c r="E44" s="114" t="n">
        <f aca="false">E41+E42+E43</f>
        <v>599741.138012968</v>
      </c>
      <c r="F44" s="114" t="n">
        <f aca="false">F41+F42+F43</f>
        <v>657330.281149677</v>
      </c>
      <c r="G44" s="114" t="n">
        <f aca="false">G41+G42+G43</f>
        <v>637364.470251155</v>
      </c>
      <c r="H44" s="61" t="n">
        <f aca="false">H41+H42+H43</f>
        <v>98908.3592284432</v>
      </c>
      <c r="I44" s="61" t="n">
        <f aca="false">I41+I42+I43</f>
        <v>196434.161628443</v>
      </c>
      <c r="J44" s="61" t="n">
        <f aca="false">J41+J42+J43</f>
        <v>99937.2416966009</v>
      </c>
      <c r="K44" s="61" t="n">
        <f aca="false">K41+K42+K43</f>
        <v>102509.447866995</v>
      </c>
      <c r="L44" s="61" t="n">
        <f aca="false">L41+L42+L43</f>
        <v>102509.447866995</v>
      </c>
      <c r="M44" s="61" t="n">
        <f aca="false">M41+M42+M43</f>
        <v>102509.447866995</v>
      </c>
      <c r="N44" s="61" t="n">
        <f aca="false">N41+N42+N43</f>
        <v>248280.173897555</v>
      </c>
      <c r="O44" s="61" t="n">
        <f aca="false">O41+O42+O43</f>
        <v>104128.435362039</v>
      </c>
      <c r="P44" s="61" t="n">
        <f aca="false">P41+P42+P43</f>
        <v>104398.266611213</v>
      </c>
      <c r="Q44" s="61" t="n">
        <f aca="false">Q41+Q42+Q43</f>
        <v>104398.266611213</v>
      </c>
      <c r="R44" s="61" t="n">
        <f aca="false">R41+R42+R43</f>
        <v>314307.405141405</v>
      </c>
      <c r="S44" s="61" t="n">
        <f aca="false">S41+S42+S43</f>
        <v>103830.848968631</v>
      </c>
      <c r="T44" s="61" t="n">
        <f aca="false">T41+T42+T43</f>
        <v>103405.285736694</v>
      </c>
      <c r="U44" s="61" t="n">
        <f aca="false">SUM(H44:T44)</f>
        <v>1785556.78848322</v>
      </c>
      <c r="V44" s="79"/>
      <c r="W44" s="79"/>
    </row>
    <row r="45" customFormat="false" ht="15" hidden="false" customHeight="false" outlineLevel="0" collapsed="false">
      <c r="A45" s="22" t="s">
        <v>691</v>
      </c>
      <c r="B45" s="23"/>
      <c r="C45" s="23"/>
      <c r="D45" s="23"/>
      <c r="E45" s="23"/>
      <c r="F45" s="23"/>
      <c r="G45" s="23"/>
      <c r="H45" s="23"/>
      <c r="I45" s="23"/>
      <c r="J45" s="23"/>
      <c r="K45" s="23"/>
      <c r="L45" s="23"/>
      <c r="M45" s="23"/>
      <c r="N45" s="23"/>
      <c r="O45" s="23"/>
      <c r="P45" s="23"/>
      <c r="Q45" s="23"/>
      <c r="R45" s="23"/>
      <c r="S45" s="23"/>
      <c r="T45" s="23"/>
      <c r="U45" s="23"/>
      <c r="V45" s="23"/>
      <c r="W45" s="23"/>
    </row>
    <row r="46" customFormat="false" ht="15" hidden="false" customHeight="false" outlineLevel="0" collapsed="false">
      <c r="A46" s="28" t="s">
        <v>504</v>
      </c>
      <c r="B46" s="63" t="s">
        <v>692</v>
      </c>
      <c r="C46" s="29" t="n">
        <v>0</v>
      </c>
      <c r="D46" s="65" t="n">
        <f aca="false">-People!M217</f>
        <v>-214370.514930366</v>
      </c>
      <c r="E46" s="65" t="n">
        <f aca="false">-People!N217</f>
        <v>-214169.624491585</v>
      </c>
      <c r="F46" s="65" t="n">
        <f aca="false">-People!O217</f>
        <v>-216441.96771415</v>
      </c>
      <c r="G46" s="65" t="n">
        <f aca="false">-People!P217</f>
        <v>-451772.094655298</v>
      </c>
      <c r="H46" s="74" t="n">
        <f aca="false">(D46-$C46)*H$27+E46*H$28+F46*H$29+G46*H$30</f>
        <v>-0</v>
      </c>
      <c r="I46" s="74" t="n">
        <f aca="false">(D46-$C46)*I$27+E46*I$28+F46*I$29+G46*I$30</f>
        <v>-0</v>
      </c>
      <c r="J46" s="74" t="n">
        <f aca="false">(D46-$C46)*J$27+E46*J$28+F46*J$29+G46*J$30</f>
        <v>-214370.514930366</v>
      </c>
      <c r="K46" s="74" t="n">
        <f aca="false">(D46-$C46)*K$27+E46*K$28+F46*K$29+G46*K$30</f>
        <v>-0</v>
      </c>
      <c r="L46" s="74" t="n">
        <f aca="false">(D46-$C46)*L$27+E46*L$28+F46*L$29+G46*L$30</f>
        <v>-0</v>
      </c>
      <c r="M46" s="74" t="n">
        <f aca="false">(D46-$C46)*M$27+E46*M$28+F46*M$29+G46*M$30</f>
        <v>-0</v>
      </c>
      <c r="N46" s="74" t="n">
        <f aca="false">(D46-$C46)*N$27+E46*N$28+F46*N$29+G46*N$30</f>
        <v>-214169.624491585</v>
      </c>
      <c r="O46" s="74" t="n">
        <f aca="false">(D46-$C46)*O$27+E46*O$28+F46*O$29+G46*O$30</f>
        <v>-0</v>
      </c>
      <c r="P46" s="74" t="n">
        <f aca="false">(D46-$C46)*P$27+E46*P$28+F46*P$29+G46*P$30</f>
        <v>-0</v>
      </c>
      <c r="Q46" s="74" t="n">
        <f aca="false">(D46-$C46)*Q$27+E46*Q$28+F46*Q$29+G46*Q$30</f>
        <v>-0</v>
      </c>
      <c r="R46" s="74" t="n">
        <f aca="false">(D46-$C46)*R$27+E46*R$28+F46*R$29+G46*R$30</f>
        <v>-0</v>
      </c>
      <c r="S46" s="74" t="n">
        <f aca="false">(D46-$C46)*S$27+E46*S$28+F46*S$29+G46*S$30</f>
        <v>-216441.96771415</v>
      </c>
      <c r="T46" s="74" t="n">
        <f aca="false">(D46-$C46)*T$27+E46*T$28+F46*T$29+G46*T$30</f>
        <v>-0</v>
      </c>
      <c r="U46" s="64" t="n">
        <f aca="false">SUM(H46:T46)</f>
        <v>-644982.107136101</v>
      </c>
      <c r="V46" s="111" t="n">
        <f aca="false">SUM(H$30:T$30)</f>
        <v>0</v>
      </c>
      <c r="W46" s="29" t="n">
        <f aca="false">G46*(1-V46)</f>
        <v>-451772.094655298</v>
      </c>
    </row>
    <row r="47" customFormat="false" ht="15" hidden="false" customHeight="false" outlineLevel="0" collapsed="false">
      <c r="A47" s="28" t="s">
        <v>693</v>
      </c>
      <c r="B47" s="63" t="s">
        <v>692</v>
      </c>
      <c r="C47" s="29" t="n">
        <v>0</v>
      </c>
      <c r="D47" s="65" t="n">
        <f aca="false">-People!M211</f>
        <v>-125578.710805</v>
      </c>
      <c r="E47" s="65" t="n">
        <f aca="false">-People!N211</f>
        <v>-125034.3194305</v>
      </c>
      <c r="F47" s="65" t="n">
        <f aca="false">-People!O211</f>
        <v>-124826.721590066</v>
      </c>
      <c r="G47" s="65" t="n">
        <f aca="false">-People!P211</f>
        <v>-127878.030430852</v>
      </c>
      <c r="H47" s="74" t="n">
        <f aca="false">(D47-$C47)*H$27+E47*H$28+F47*H$29+G47*H$30</f>
        <v>-0</v>
      </c>
      <c r="I47" s="74" t="n">
        <f aca="false">(D47-$C47)*I$27+E47*I$28+F47*I$29+G47*I$30</f>
        <v>-0</v>
      </c>
      <c r="J47" s="74" t="n">
        <f aca="false">(D47-$C47)*J$27+E47*J$28+F47*J$29+G47*J$30</f>
        <v>-125578.710805</v>
      </c>
      <c r="K47" s="74" t="n">
        <f aca="false">(D47-$C47)*K$27+E47*K$28+F47*K$29+G47*K$30</f>
        <v>-0</v>
      </c>
      <c r="L47" s="74" t="n">
        <f aca="false">(D47-$C47)*L$27+E47*L$28+F47*L$29+G47*L$30</f>
        <v>-0</v>
      </c>
      <c r="M47" s="74" t="n">
        <f aca="false">(D47-$C47)*M$27+E47*M$28+F47*M$29+G47*M$30</f>
        <v>-0</v>
      </c>
      <c r="N47" s="74" t="n">
        <f aca="false">(D47-$C47)*N$27+E47*N$28+F47*N$29+G47*N$30</f>
        <v>-125034.3194305</v>
      </c>
      <c r="O47" s="74" t="n">
        <f aca="false">(D47-$C47)*O$27+E47*O$28+F47*O$29+G47*O$30</f>
        <v>-0</v>
      </c>
      <c r="P47" s="74" t="n">
        <f aca="false">(D47-$C47)*P$27+E47*P$28+F47*P$29+G47*P$30</f>
        <v>-0</v>
      </c>
      <c r="Q47" s="74" t="n">
        <f aca="false">(D47-$C47)*Q$27+E47*Q$28+F47*Q$29+G47*Q$30</f>
        <v>-0</v>
      </c>
      <c r="R47" s="74" t="n">
        <f aca="false">(D47-$C47)*R$27+E47*R$28+F47*R$29+G47*R$30</f>
        <v>-0</v>
      </c>
      <c r="S47" s="74" t="n">
        <f aca="false">(D47-$C47)*S$27+E47*S$28+F47*S$29+G47*S$30</f>
        <v>-124826.721590066</v>
      </c>
      <c r="T47" s="74" t="n">
        <f aca="false">(D47-$C47)*T$27+E47*T$28+F47*T$29+G47*T$30</f>
        <v>-0</v>
      </c>
      <c r="U47" s="64" t="n">
        <f aca="false">SUM(H47:T47)</f>
        <v>-375439.751825567</v>
      </c>
      <c r="V47" s="111" t="n">
        <f aca="false">SUM(H$30:T$30)</f>
        <v>0</v>
      </c>
      <c r="W47" s="29" t="n">
        <f aca="false">G47*(1-V47)</f>
        <v>-127878.030430852</v>
      </c>
    </row>
    <row r="48" customFormat="false" ht="15" hidden="false" customHeight="false" outlineLevel="0" collapsed="false">
      <c r="A48" s="28" t="s">
        <v>694</v>
      </c>
      <c r="B48" s="63" t="s">
        <v>695</v>
      </c>
      <c r="C48" s="29" t="n">
        <v>0</v>
      </c>
      <c r="D48" s="65" t="n">
        <f aca="false">-Tax!M10</f>
        <v>-0</v>
      </c>
      <c r="E48" s="65" t="n">
        <f aca="false">-Tax!N10</f>
        <v>-172254.871580952</v>
      </c>
      <c r="F48" s="65" t="n">
        <f aca="false">-Tax!O10</f>
        <v>-0</v>
      </c>
      <c r="G48" s="65" t="n">
        <f aca="false">-Tax!P10</f>
        <v>-0</v>
      </c>
      <c r="H48" s="74" t="n">
        <f aca="false">(D48-$C48)*H$19+E48*H$20+F48*H$21+G48*H$22</f>
        <v>-0</v>
      </c>
      <c r="I48" s="74" t="n">
        <f aca="false">(D48-$C48)*I$19+E48*I$20+F48*I$21+G48*I$22</f>
        <v>-0</v>
      </c>
      <c r="J48" s="74" t="n">
        <f aca="false">(D48-$C48)*J$19+E48*J$20+F48*J$21+G48*J$22</f>
        <v>-0</v>
      </c>
      <c r="K48" s="74" t="n">
        <f aca="false">(D48-$C48)*K$19+E48*K$20+F48*K$21+G48*K$22</f>
        <v>-0</v>
      </c>
      <c r="L48" s="74" t="n">
        <f aca="false">(D48-$C48)*L$19+E48*L$20+F48*L$21+G48*L$22</f>
        <v>-0</v>
      </c>
      <c r="M48" s="74" t="n">
        <f aca="false">(D48-$C48)*M$19+E48*M$20+F48*M$21+G48*M$22</f>
        <v>-172254.871580952</v>
      </c>
      <c r="N48" s="74" t="n">
        <f aca="false">(D48-$C48)*N$19+E48*N$20+F48*N$21+G48*N$22</f>
        <v>-0</v>
      </c>
      <c r="O48" s="74" t="n">
        <f aca="false">(D48-$C48)*O$19+E48*O$20+F48*O$21+G48*O$22</f>
        <v>-0</v>
      </c>
      <c r="P48" s="74" t="n">
        <f aca="false">(D48-$C48)*P$19+E48*P$20+F48*P$21+G48*P$22</f>
        <v>-0</v>
      </c>
      <c r="Q48" s="74" t="n">
        <f aca="false">(D48-$C48)*Q$19+E48*Q$20+F48*Q$21+G48*Q$22</f>
        <v>-0</v>
      </c>
      <c r="R48" s="74" t="n">
        <f aca="false">(D48-$C48)*R$19+E48*R$20+F48*R$21+G48*R$22</f>
        <v>-0</v>
      </c>
      <c r="S48" s="74" t="n">
        <f aca="false">(D48-$C48)*S$19+E48*S$20+F48*S$21+G48*S$22</f>
        <v>-0</v>
      </c>
      <c r="T48" s="74" t="n">
        <f aca="false">(D48-$C48)*T$19+E48*T$20+F48*T$21+G48*T$22</f>
        <v>-0</v>
      </c>
      <c r="U48" s="64" t="n">
        <f aca="false">SUM(H48:T48)</f>
        <v>-172254.871580952</v>
      </c>
      <c r="V48" s="111" t="n">
        <f aca="false">SUM(H$22:T$22)</f>
        <v>0</v>
      </c>
      <c r="W48" s="29" t="n">
        <f aca="false">G48*(1-V48)</f>
        <v>-0</v>
      </c>
    </row>
    <row r="49" customFormat="false" ht="15" hidden="false" customHeight="false" outlineLevel="0" collapsed="false">
      <c r="A49" s="28" t="s">
        <v>696</v>
      </c>
      <c r="B49" s="63" t="s">
        <v>695</v>
      </c>
      <c r="C49" s="29" t="n">
        <v>0</v>
      </c>
      <c r="D49" s="65" t="n">
        <f aca="false">-Tax!M16</f>
        <v>-0</v>
      </c>
      <c r="E49" s="65" t="n">
        <f aca="false">-Tax!N16</f>
        <v>-8835</v>
      </c>
      <c r="F49" s="65" t="n">
        <f aca="false">-Tax!O16</f>
        <v>-0</v>
      </c>
      <c r="G49" s="65" t="n">
        <f aca="false">-Tax!P16</f>
        <v>-0</v>
      </c>
      <c r="H49" s="74" t="n">
        <f aca="false">(D49-$C49)*H$19+E49*H$20+F49*H$21+G49*H$22</f>
        <v>-0</v>
      </c>
      <c r="I49" s="74" t="n">
        <f aca="false">(D49-$C49)*I$19+E49*I$20+F49*I$21+G49*I$22</f>
        <v>-0</v>
      </c>
      <c r="J49" s="74" t="n">
        <f aca="false">(D49-$C49)*J$19+E49*J$20+F49*J$21+G49*J$22</f>
        <v>-0</v>
      </c>
      <c r="K49" s="74" t="n">
        <f aca="false">(D49-$C49)*K$19+E49*K$20+F49*K$21+G49*K$22</f>
        <v>-0</v>
      </c>
      <c r="L49" s="74" t="n">
        <f aca="false">(D49-$C49)*L$19+E49*L$20+F49*L$21+G49*L$22</f>
        <v>-0</v>
      </c>
      <c r="M49" s="74" t="n">
        <f aca="false">(D49-$C49)*M$19+E49*M$20+F49*M$21+G49*M$22</f>
        <v>-8835</v>
      </c>
      <c r="N49" s="74" t="n">
        <f aca="false">(D49-$C49)*N$19+E49*N$20+F49*N$21+G49*N$22</f>
        <v>-0</v>
      </c>
      <c r="O49" s="74" t="n">
        <f aca="false">(D49-$C49)*O$19+E49*O$20+F49*O$21+G49*O$22</f>
        <v>-0</v>
      </c>
      <c r="P49" s="74" t="n">
        <f aca="false">(D49-$C49)*P$19+E49*P$20+F49*P$21+G49*P$22</f>
        <v>-0</v>
      </c>
      <c r="Q49" s="74" t="n">
        <f aca="false">(D49-$C49)*Q$19+E49*Q$20+F49*Q$21+G49*Q$22</f>
        <v>-0</v>
      </c>
      <c r="R49" s="74" t="n">
        <f aca="false">(D49-$C49)*R$19+E49*R$20+F49*R$21+G49*R$22</f>
        <v>-0</v>
      </c>
      <c r="S49" s="74" t="n">
        <f aca="false">(D49-$C49)*S$19+E49*S$20+F49*S$21+G49*S$22</f>
        <v>-0</v>
      </c>
      <c r="T49" s="74" t="n">
        <f aca="false">(D49-$C49)*T$19+E49*T$20+F49*T$21+G49*T$22</f>
        <v>-0</v>
      </c>
      <c r="U49" s="64" t="n">
        <f aca="false">SUM(H49:T49)</f>
        <v>-8835</v>
      </c>
      <c r="V49" s="111" t="n">
        <f aca="false">SUM(H$22:T$22)</f>
        <v>0</v>
      </c>
      <c r="W49" s="29" t="n">
        <f aca="false">G49*(1-V49)</f>
        <v>-0</v>
      </c>
    </row>
    <row r="50" customFormat="false" ht="15" hidden="false" customHeight="false" outlineLevel="0" collapsed="false">
      <c r="A50" s="28" t="s">
        <v>697</v>
      </c>
      <c r="B50" s="63" t="s">
        <v>695</v>
      </c>
      <c r="C50" s="29" t="n">
        <v>0</v>
      </c>
      <c r="D50" s="65" t="n">
        <f aca="false">-VAT!M14</f>
        <v>-0</v>
      </c>
      <c r="E50" s="65" t="n">
        <f aca="false">-VAT!N14</f>
        <v>-135262.593104556</v>
      </c>
      <c r="F50" s="65" t="n">
        <f aca="false">-VAT!O14</f>
        <v>-0</v>
      </c>
      <c r="G50" s="65" t="n">
        <f aca="false">-VAT!P14</f>
        <v>-0</v>
      </c>
      <c r="H50" s="74" t="n">
        <f aca="false">(D50-$C50)*H$19+E50*H$20+F50*H$21+G50*H$22</f>
        <v>-0</v>
      </c>
      <c r="I50" s="74" t="n">
        <f aca="false">(D50-$C50)*I$19+E50*I$20+F50*I$21+G50*I$22</f>
        <v>-0</v>
      </c>
      <c r="J50" s="74" t="n">
        <f aca="false">(D50-$C50)*J$19+E50*J$20+F50*J$21+G50*J$22</f>
        <v>-0</v>
      </c>
      <c r="K50" s="74" t="n">
        <f aca="false">(D50-$C50)*K$19+E50*K$20+F50*K$21+G50*K$22</f>
        <v>-0</v>
      </c>
      <c r="L50" s="74" t="n">
        <f aca="false">(D50-$C50)*L$19+E50*L$20+F50*L$21+G50*L$22</f>
        <v>-0</v>
      </c>
      <c r="M50" s="74" t="n">
        <f aca="false">(D50-$C50)*M$19+E50*M$20+F50*M$21+G50*M$22</f>
        <v>-135262.593104556</v>
      </c>
      <c r="N50" s="74" t="n">
        <f aca="false">(D50-$C50)*N$19+E50*N$20+F50*N$21+G50*N$22</f>
        <v>-0</v>
      </c>
      <c r="O50" s="74" t="n">
        <f aca="false">(D50-$C50)*O$19+E50*O$20+F50*O$21+G50*O$22</f>
        <v>-0</v>
      </c>
      <c r="P50" s="74" t="n">
        <f aca="false">(D50-$C50)*P$19+E50*P$20+F50*P$21+G50*P$22</f>
        <v>-0</v>
      </c>
      <c r="Q50" s="74" t="n">
        <f aca="false">(D50-$C50)*Q$19+E50*Q$20+F50*Q$21+G50*Q$22</f>
        <v>-0</v>
      </c>
      <c r="R50" s="74" t="n">
        <f aca="false">(D50-$C50)*R$19+E50*R$20+F50*R$21+G50*R$22</f>
        <v>-0</v>
      </c>
      <c r="S50" s="74" t="n">
        <f aca="false">(D50-$C50)*S$19+E50*S$20+F50*S$21+G50*S$22</f>
        <v>-0</v>
      </c>
      <c r="T50" s="74" t="n">
        <f aca="false">(D50-$C50)*T$19+E50*T$20+F50*T$21+G50*T$22</f>
        <v>-0</v>
      </c>
      <c r="U50" s="64" t="n">
        <f aca="false">SUM(H50:T50)</f>
        <v>-135262.593104556</v>
      </c>
      <c r="V50" s="111" t="n">
        <f aca="false">SUM(H$22:T$22)</f>
        <v>0</v>
      </c>
      <c r="W50" s="29" t="n">
        <f aca="false">G50*(1-V50)</f>
        <v>-0</v>
      </c>
    </row>
    <row r="51" customFormat="false" ht="15" hidden="false" customHeight="false" outlineLevel="0" collapsed="false">
      <c r="A51" s="28" t="s">
        <v>698</v>
      </c>
      <c r="B51" s="63" t="s">
        <v>695</v>
      </c>
      <c r="C51" s="29" t="n">
        <v>0</v>
      </c>
      <c r="D51" s="65" t="n">
        <f aca="false">-Tax!M27</f>
        <v>-0</v>
      </c>
      <c r="E51" s="65" t="n">
        <f aca="false">-Tax!N27</f>
        <v>-0</v>
      </c>
      <c r="F51" s="65" t="n">
        <f aca="false">-Tax!O27</f>
        <v>-0</v>
      </c>
      <c r="G51" s="65" t="n">
        <f aca="false">-Tax!P27</f>
        <v>-0</v>
      </c>
      <c r="H51" s="74" t="n">
        <f aca="false">(D51-$C51)*H$19+E51*H$20+F51*H$21+G51*H$22</f>
        <v>-0</v>
      </c>
      <c r="I51" s="74" t="n">
        <f aca="false">(D51-$C51)*I$19+E51*I$20+F51*I$21+G51*I$22</f>
        <v>-0</v>
      </c>
      <c r="J51" s="74" t="n">
        <f aca="false">(D51-$C51)*J$19+E51*J$20+F51*J$21+G51*J$22</f>
        <v>-0</v>
      </c>
      <c r="K51" s="74" t="n">
        <f aca="false">(D51-$C51)*K$19+E51*K$20+F51*K$21+G51*K$22</f>
        <v>-0</v>
      </c>
      <c r="L51" s="74" t="n">
        <f aca="false">(D51-$C51)*L$19+E51*L$20+F51*L$21+G51*L$22</f>
        <v>-0</v>
      </c>
      <c r="M51" s="74" t="n">
        <f aca="false">(D51-$C51)*M$19+E51*M$20+F51*M$21+G51*M$22</f>
        <v>-0</v>
      </c>
      <c r="N51" s="74" t="n">
        <f aca="false">(D51-$C51)*N$19+E51*N$20+F51*N$21+G51*N$22</f>
        <v>-0</v>
      </c>
      <c r="O51" s="74" t="n">
        <f aca="false">(D51-$C51)*O$19+E51*O$20+F51*O$21+G51*O$22</f>
        <v>-0</v>
      </c>
      <c r="P51" s="74" t="n">
        <f aca="false">(D51-$C51)*P$19+E51*P$20+F51*P$21+G51*P$22</f>
        <v>-0</v>
      </c>
      <c r="Q51" s="74" t="n">
        <f aca="false">(D51-$C51)*Q$19+E51*Q$20+F51*Q$21+G51*Q$22</f>
        <v>-0</v>
      </c>
      <c r="R51" s="74" t="n">
        <f aca="false">(D51-$C51)*R$19+E51*R$20+F51*R$21+G51*R$22</f>
        <v>-0</v>
      </c>
      <c r="S51" s="74" t="n">
        <f aca="false">(D51-$C51)*S$19+E51*S$20+F51*S$21+G51*S$22</f>
        <v>-0</v>
      </c>
      <c r="T51" s="74" t="n">
        <f aca="false">(D51-$C51)*T$19+E51*T$20+F51*T$21+G51*T$22</f>
        <v>-0</v>
      </c>
      <c r="U51" s="64" t="n">
        <f aca="false">SUM(H51:T51)</f>
        <v>0</v>
      </c>
      <c r="V51" s="111" t="n">
        <f aca="false">SUM(H$22:T$22)</f>
        <v>0</v>
      </c>
      <c r="W51" s="29" t="n">
        <f aca="false">G51*(1-V51)</f>
        <v>-0</v>
      </c>
    </row>
    <row r="52" customFormat="false" ht="15" hidden="false" customHeight="false" outlineLevel="0" collapsed="false">
      <c r="A52" s="28" t="s">
        <v>699</v>
      </c>
      <c r="B52" s="63" t="s">
        <v>700</v>
      </c>
      <c r="C52" s="29" t="n">
        <v>0</v>
      </c>
      <c r="D52" s="65" t="n">
        <f aca="false">-People!M218</f>
        <v>-0</v>
      </c>
      <c r="E52" s="65" t="n">
        <f aca="false">-People!N218</f>
        <v>-0</v>
      </c>
      <c r="F52" s="65" t="n">
        <f aca="false">-People!O218</f>
        <v>-0</v>
      </c>
      <c r="G52" s="65" t="n">
        <f aca="false">-People!P218</f>
        <v>-0</v>
      </c>
      <c r="H52" s="74" t="n">
        <f aca="false">(D52-$C52)*H$35+E52*H$36+F52*H$37+G52*H$38</f>
        <v>-0</v>
      </c>
      <c r="I52" s="74" t="n">
        <f aca="false">(D52-$C52)*I$35+E52*I$36+F52*I$37+G52*I$38</f>
        <v>-0</v>
      </c>
      <c r="J52" s="74" t="n">
        <f aca="false">(D52-$C52)*J$35+E52*J$36+F52*J$37+G52*J$38</f>
        <v>-0</v>
      </c>
      <c r="K52" s="74" t="n">
        <f aca="false">(D52-$C52)*K$35+E52*K$36+F52*K$37+G52*K$38</f>
        <v>-0</v>
      </c>
      <c r="L52" s="74" t="n">
        <f aca="false">(D52-$C52)*L$35+E52*L$36+F52*L$37+G52*L$38</f>
        <v>-0</v>
      </c>
      <c r="M52" s="74" t="n">
        <f aca="false">(D52-$C52)*M$35+E52*M$36+F52*M$37+G52*M$38</f>
        <v>-0</v>
      </c>
      <c r="N52" s="74" t="n">
        <f aca="false">(D52-$C52)*N$35+E52*N$36+F52*N$37+G52*N$38</f>
        <v>-0</v>
      </c>
      <c r="O52" s="74" t="n">
        <f aca="false">(D52-$C52)*O$35+E52*O$36+F52*O$37+G52*O$38</f>
        <v>-0</v>
      </c>
      <c r="P52" s="74" t="n">
        <f aca="false">(D52-$C52)*P$35+E52*P$36+F52*P$37+G52*P$38</f>
        <v>-0</v>
      </c>
      <c r="Q52" s="74" t="n">
        <f aca="false">(D52-$C52)*Q$35+E52*Q$36+F52*Q$37+G52*Q$38</f>
        <v>-0</v>
      </c>
      <c r="R52" s="74" t="n">
        <f aca="false">(D52-$C52)*R$35+E52*R$36+F52*R$37+G52*R$38</f>
        <v>-0</v>
      </c>
      <c r="S52" s="74" t="n">
        <f aca="false">(D52-$C52)*S$35+E52*S$36+F52*S$37+G52*S$38</f>
        <v>-0</v>
      </c>
      <c r="T52" s="74" t="n">
        <f aca="false">(D52-$C52)*T$35+E52*T$36+F52*T$37+G52*T$38</f>
        <v>-0</v>
      </c>
      <c r="U52" s="64" t="n">
        <f aca="false">SUM(H52:T52)</f>
        <v>0</v>
      </c>
      <c r="V52" s="111" t="n">
        <f aca="false">SUM(H$38:T$38)</f>
        <v>0</v>
      </c>
      <c r="W52" s="29" t="n">
        <f aca="false">G52*(1-V52)</f>
        <v>-0</v>
      </c>
    </row>
    <row r="53" customFormat="false" ht="15" hidden="false" customHeight="false" outlineLevel="0" collapsed="false">
      <c r="A53" s="28" t="s">
        <v>701</v>
      </c>
      <c r="B53" s="63" t="s">
        <v>702</v>
      </c>
      <c r="C53" s="29" t="n">
        <f aca="false">D53</f>
        <v>-57077.91</v>
      </c>
      <c r="D53" s="65" t="n">
        <f aca="false">-Payables!M10</f>
        <v>-57077.91</v>
      </c>
      <c r="E53" s="65" t="n">
        <f aca="false">-Payables!N10</f>
        <v>-56804.4589610682</v>
      </c>
      <c r="F53" s="65" t="n">
        <f aca="false">-Payables!O10</f>
        <v>-57213.1047137646</v>
      </c>
      <c r="G53" s="65" t="n">
        <f aca="false">-Payables!P10</f>
        <v>-58015.0353832541</v>
      </c>
      <c r="H53" s="74" t="n">
        <f aca="false">(D53-$C53)*H$15+E53*H$16+F53*H$17+G53*H$18</f>
        <v>0</v>
      </c>
      <c r="I53" s="74" t="n">
        <f aca="false">(D53-$C53)*I$15+E53*I$16+F53*I$17+G53*I$18</f>
        <v>0</v>
      </c>
      <c r="J53" s="74" t="n">
        <f aca="false">(D53-$C53)*J$15+E53*J$16+F53*J$17+G53*J$18</f>
        <v>0</v>
      </c>
      <c r="K53" s="74" t="n">
        <f aca="false">(D53-$C53)*K$15+E53*K$16+F53*K$17+G53*K$18</f>
        <v>-56804.4589610682</v>
      </c>
      <c r="L53" s="74" t="n">
        <f aca="false">(D53-$C53)*L$15+E53*L$16+F53*L$17+G53*L$18</f>
        <v>0</v>
      </c>
      <c r="M53" s="74" t="n">
        <f aca="false">(D53-$C53)*M$15+E53*M$16+F53*M$17+G53*M$18</f>
        <v>0</v>
      </c>
      <c r="N53" s="74" t="n">
        <f aca="false">(D53-$C53)*N$15+E53*N$16+F53*N$17+G53*N$18</f>
        <v>0</v>
      </c>
      <c r="O53" s="74" t="n">
        <f aca="false">(D53-$C53)*O$15+E53*O$16+F53*O$17+G53*O$18</f>
        <v>-57213.1047137646</v>
      </c>
      <c r="P53" s="74" t="n">
        <f aca="false">(D53-$C53)*P$15+E53*P$16+F53*P$17+G53*P$18</f>
        <v>0</v>
      </c>
      <c r="Q53" s="74" t="n">
        <f aca="false">(D53-$C53)*Q$15+E53*Q$16+F53*Q$17+G53*Q$18</f>
        <v>0</v>
      </c>
      <c r="R53" s="74" t="n">
        <f aca="false">(D53-$C53)*R$15+E53*R$16+F53*R$17+G53*R$18</f>
        <v>0</v>
      </c>
      <c r="S53" s="74" t="n">
        <f aca="false">(D53-$C53)*S$15+E53*S$16+F53*S$17+G53*S$18</f>
        <v>0</v>
      </c>
      <c r="T53" s="74" t="n">
        <f aca="false">(D53-$C53)*T$15+E53*T$16+F53*T$17+G53*T$18</f>
        <v>-58015.0353832541</v>
      </c>
      <c r="U53" s="64" t="n">
        <f aca="false">SUM(H53:T53)</f>
        <v>-172032.599058087</v>
      </c>
      <c r="V53" s="111" t="n">
        <f aca="false">SUM(H$18:T$18)</f>
        <v>1</v>
      </c>
      <c r="W53" s="29" t="n">
        <f aca="false">G53*(1-V53)</f>
        <v>-0</v>
      </c>
    </row>
    <row r="54" customFormat="false" ht="15" hidden="false" customHeight="false" outlineLevel="0" collapsed="false">
      <c r="A54" s="28" t="s">
        <v>703</v>
      </c>
      <c r="B54" s="63" t="s">
        <v>685</v>
      </c>
      <c r="C54" s="110" t="n">
        <v>-21894</v>
      </c>
      <c r="D54" s="65" t="n">
        <f aca="false">-Payables!M14</f>
        <v>-59711.78</v>
      </c>
      <c r="E54" s="65" t="n">
        <f aca="false">-Payables!N14</f>
        <v>-66000</v>
      </c>
      <c r="F54" s="65" t="n">
        <f aca="false">-Payables!O14</f>
        <v>-66000</v>
      </c>
      <c r="G54" s="65" t="n">
        <f aca="false">-Payables!P14</f>
        <v>-66000</v>
      </c>
      <c r="H54" s="74" t="n">
        <f aca="false">(D54-$C54)*H$11+E54*H$12+F54*H$13+G54*H$14</f>
        <v>-13932.8663157895</v>
      </c>
      <c r="I54" s="74" t="n">
        <f aca="false">(D54-$C54)*I$11+E54*I$12+F54*I$13+G54*I$14</f>
        <v>-13932.8663157895</v>
      </c>
      <c r="J54" s="74" t="n">
        <f aca="false">(D54-$C54)*J$11+E54*J$12+F54*J$13+G54*J$14</f>
        <v>-14210.1118845501</v>
      </c>
      <c r="K54" s="74" t="n">
        <f aca="false">(D54-$C54)*K$11+E54*K$12+F54*K$13+G54*K$14</f>
        <v>-14903.2258064516</v>
      </c>
      <c r="L54" s="74" t="n">
        <f aca="false">(D54-$C54)*L$11+E54*L$12+F54*L$13+G54*L$14</f>
        <v>-14903.2258064516</v>
      </c>
      <c r="M54" s="74" t="n">
        <f aca="false">(D54-$C54)*M$11+E54*M$12+F54*M$13+G54*M$14</f>
        <v>-14903.2258064516</v>
      </c>
      <c r="N54" s="74" t="n">
        <f aca="false">(D54-$C54)*N$11+E54*N$12+F54*N$13+G54*N$14</f>
        <v>-14903.2258064516</v>
      </c>
      <c r="O54" s="74" t="n">
        <f aca="false">(D54-$C54)*O$11+E54*O$12+F54*O$13+G54*O$14</f>
        <v>-15329.0322580645</v>
      </c>
      <c r="P54" s="74" t="n">
        <f aca="false">(D54-$C54)*P$11+E54*P$12+F54*P$13+G54*P$14</f>
        <v>-15400</v>
      </c>
      <c r="Q54" s="74" t="n">
        <f aca="false">(D54-$C54)*Q$11+E54*Q$12+F54*Q$13+G54*Q$14</f>
        <v>-15400</v>
      </c>
      <c r="R54" s="74" t="n">
        <f aca="false">(D54-$C54)*R$11+E54*R$12+F54*R$13+G54*R$14</f>
        <v>-15400</v>
      </c>
      <c r="S54" s="74" t="n">
        <f aca="false">(D54-$C54)*S$11+E54*S$12+F54*S$13+G54*S$14</f>
        <v>-15116.1290322581</v>
      </c>
      <c r="T54" s="74" t="n">
        <f aca="false">(D54-$C54)*T$11+E54*T$12+F54*T$13+G54*T$14</f>
        <v>-14903.2258064516</v>
      </c>
      <c r="U54" s="64" t="n">
        <f aca="false">SUM(H54:T54)</f>
        <v>-193237.13483871</v>
      </c>
      <c r="V54" s="111" t="n">
        <f aca="false">SUM(H$14:T$14)</f>
        <v>0.354838709677419</v>
      </c>
      <c r="W54" s="29" t="n">
        <f aca="false">G54*(1-V54)</f>
        <v>-42580.6451612903</v>
      </c>
    </row>
    <row r="55" customFormat="false" ht="15" hidden="false" customHeight="false" outlineLevel="0" collapsed="false">
      <c r="A55" s="28" t="s">
        <v>704</v>
      </c>
      <c r="B55" s="63" t="s">
        <v>685</v>
      </c>
      <c r="C55" s="110" t="n">
        <v>-23263</v>
      </c>
      <c r="D55" s="65" t="n">
        <f aca="false">-Payables!M18</f>
        <v>-63444.96205</v>
      </c>
      <c r="E55" s="65" t="n">
        <f aca="false">-Payables!N18</f>
        <v>-69615.5</v>
      </c>
      <c r="F55" s="65" t="n">
        <f aca="false">-Payables!O18</f>
        <v>-69615.5</v>
      </c>
      <c r="G55" s="65" t="n">
        <f aca="false">-Payables!P18</f>
        <v>-78456.5666666667</v>
      </c>
      <c r="H55" s="74" t="n">
        <f aca="false">(D55-$C55)*H$11+E55*H$12+F55*H$13+G55*H$14</f>
        <v>-14803.8807552632</v>
      </c>
      <c r="I55" s="74" t="n">
        <f aca="false">(D55-$C55)*I$11+E55*I$12+F55*I$13+G55*I$14</f>
        <v>-14803.8807552632</v>
      </c>
      <c r="J55" s="74" t="n">
        <f aca="false">(D55-$C55)*J$11+E55*J$12+F55*J$13+G55*J$14</f>
        <v>-15065.5231201188</v>
      </c>
      <c r="K55" s="74" t="n">
        <f aca="false">(D55-$C55)*K$11+E55*K$12+F55*K$13+G55*K$14</f>
        <v>-15719.6290322581</v>
      </c>
      <c r="L55" s="74" t="n">
        <f aca="false">(D55-$C55)*L$11+E55*L$12+F55*L$13+G55*L$14</f>
        <v>-15719.6290322581</v>
      </c>
      <c r="M55" s="74" t="n">
        <f aca="false">(D55-$C55)*M$11+E55*M$12+F55*M$13+G55*M$14</f>
        <v>-15719.6290322581</v>
      </c>
      <c r="N55" s="74" t="n">
        <f aca="false">(D55-$C55)*N$11+E55*N$12+F55*N$13+G55*N$14</f>
        <v>-15719.6290322581</v>
      </c>
      <c r="O55" s="74" t="n">
        <f aca="false">(D55-$C55)*O$11+E55*O$12+F55*O$13+G55*O$14</f>
        <v>-16168.7612903226</v>
      </c>
      <c r="P55" s="74" t="n">
        <f aca="false">(D55-$C55)*P$11+E55*P$12+F55*P$13+G55*P$14</f>
        <v>-16243.6166666667</v>
      </c>
      <c r="Q55" s="74" t="n">
        <f aca="false">(D55-$C55)*Q$11+E55*Q$12+F55*Q$13+G55*Q$14</f>
        <v>-16243.6166666667</v>
      </c>
      <c r="R55" s="74" t="n">
        <f aca="false">(D55-$C55)*R$11+E55*R$12+F55*R$13+G55*R$14</f>
        <v>-16243.6166666667</v>
      </c>
      <c r="S55" s="74" t="n">
        <f aca="false">(D55-$C55)*S$11+E55*S$12+F55*S$13+G55*S$14</f>
        <v>-17084.9779569893</v>
      </c>
      <c r="T55" s="74" t="n">
        <f aca="false">(D55-$C55)*T$11+E55*T$12+F55*T$13+G55*T$14</f>
        <v>-17715.9989247312</v>
      </c>
      <c r="U55" s="64" t="n">
        <f aca="false">SUM(H55:T55)</f>
        <v>-207252.38893172</v>
      </c>
      <c r="V55" s="111" t="n">
        <f aca="false">SUM(H$14:T$14)</f>
        <v>0.354838709677419</v>
      </c>
      <c r="W55" s="29" t="n">
        <f aca="false">G55*(1-V55)</f>
        <v>-50617.1397849462</v>
      </c>
    </row>
    <row r="56" customFormat="false" ht="15" hidden="false" customHeight="false" outlineLevel="0" collapsed="false">
      <c r="A56" s="28" t="s">
        <v>705</v>
      </c>
      <c r="B56" s="63" t="s">
        <v>706</v>
      </c>
      <c r="C56" s="29" t="n">
        <f aca="false">D56</f>
        <v>-15810</v>
      </c>
      <c r="D56" s="65" t="n">
        <f aca="false">-Overheads!M24</f>
        <v>-15810</v>
      </c>
      <c r="E56" s="65" t="n">
        <f aca="false">-Overheads!N24</f>
        <v>-15810</v>
      </c>
      <c r="F56" s="65" t="n">
        <f aca="false">-Overheads!O24</f>
        <v>-15810</v>
      </c>
      <c r="G56" s="65" t="n">
        <f aca="false">-Overheads!P24</f>
        <v>-15810</v>
      </c>
      <c r="H56" s="74" t="n">
        <f aca="false">(D56-$C56)*H$31+E56*H$32+F56*H$33+G56*H$34</f>
        <v>0</v>
      </c>
      <c r="I56" s="74" t="n">
        <f aca="false">(D56-$C56)*I$31+E56*I$32+F56*I$33+G56*I$34</f>
        <v>0</v>
      </c>
      <c r="J56" s="74" t="n">
        <f aca="false">(D56-$C56)*J$31+E56*J$32+F56*J$33+G56*J$34</f>
        <v>-15810</v>
      </c>
      <c r="K56" s="74" t="n">
        <f aca="false">(D56-$C56)*K$31+E56*K$32+F56*K$33+G56*K$34</f>
        <v>0</v>
      </c>
      <c r="L56" s="74" t="n">
        <f aca="false">(D56-$C56)*L$31+E56*L$32+F56*L$33+G56*L$34</f>
        <v>0</v>
      </c>
      <c r="M56" s="74" t="n">
        <f aca="false">(D56-$C56)*M$31+E56*M$32+F56*M$33+G56*M$34</f>
        <v>0</v>
      </c>
      <c r="N56" s="74" t="n">
        <f aca="false">(D56-$C56)*N$31+E56*N$32+F56*N$33+G56*N$34</f>
        <v>0</v>
      </c>
      <c r="O56" s="74" t="n">
        <f aca="false">(D56-$C56)*O$31+E56*O$32+F56*O$33+G56*O$34</f>
        <v>-15810</v>
      </c>
      <c r="P56" s="74" t="n">
        <f aca="false">(D56-$C56)*P$31+E56*P$32+F56*P$33+G56*P$34</f>
        <v>0</v>
      </c>
      <c r="Q56" s="74" t="n">
        <f aca="false">(D56-$C56)*Q$31+E56*Q$32+F56*Q$33+G56*Q$34</f>
        <v>0</v>
      </c>
      <c r="R56" s="74" t="n">
        <f aca="false">(D56-$C56)*R$31+E56*R$32+F56*R$33+G56*R$34</f>
        <v>0</v>
      </c>
      <c r="S56" s="74" t="n">
        <f aca="false">(D56-$C56)*S$31+E56*S$32+F56*S$33+G56*S$34</f>
        <v>-15810</v>
      </c>
      <c r="T56" s="74" t="n">
        <f aca="false">(D56-$C56)*T$31+E56*T$32+F56*T$33+G56*T$34</f>
        <v>0</v>
      </c>
      <c r="U56" s="64" t="n">
        <f aca="false">SUM(H56:T56)</f>
        <v>-47430</v>
      </c>
      <c r="V56" s="111" t="n">
        <f aca="false">SUM(H$34:T$34)</f>
        <v>1</v>
      </c>
      <c r="W56" s="29" t="n">
        <f aca="false">G56*(1-V56)</f>
        <v>-0</v>
      </c>
    </row>
    <row r="57" customFormat="false" ht="15" hidden="false" customHeight="false" outlineLevel="0" collapsed="false">
      <c r="A57" s="28" t="s">
        <v>707</v>
      </c>
      <c r="B57" s="63" t="s">
        <v>692</v>
      </c>
      <c r="C57" s="29" t="n">
        <v>0</v>
      </c>
      <c r="D57" s="65" t="n">
        <f aca="false">-(Financing!M9+Financing!M11)</f>
        <v>-72569.44885</v>
      </c>
      <c r="E57" s="65" t="n">
        <f aca="false">-(Financing!N9+Financing!N11)</f>
        <v>-72083.3377</v>
      </c>
      <c r="F57" s="65" t="n">
        <f aca="false">-(Financing!O9+Financing!O11)</f>
        <v>-71597.22655</v>
      </c>
      <c r="G57" s="65" t="n">
        <f aca="false">-(Financing!P9+Financing!P11)</f>
        <v>-71111.1154</v>
      </c>
      <c r="H57" s="74" t="n">
        <f aca="false">(D57-$C57)*H$27+E57*H$28+F57*H$29+G57*H$30</f>
        <v>-0</v>
      </c>
      <c r="I57" s="74" t="n">
        <f aca="false">(D57-$C57)*I$27+E57*I$28+F57*I$29+G57*I$30</f>
        <v>-0</v>
      </c>
      <c r="J57" s="74" t="n">
        <f aca="false">(D57-$C57)*J$27+E57*J$28+F57*J$29+G57*J$30</f>
        <v>-72569.44885</v>
      </c>
      <c r="K57" s="74" t="n">
        <f aca="false">(D57-$C57)*K$27+E57*K$28+F57*K$29+G57*K$30</f>
        <v>-0</v>
      </c>
      <c r="L57" s="74" t="n">
        <f aca="false">(D57-$C57)*L$27+E57*L$28+F57*L$29+G57*L$30</f>
        <v>-0</v>
      </c>
      <c r="M57" s="74" t="n">
        <f aca="false">(D57-$C57)*M$27+E57*M$28+F57*M$29+G57*M$30</f>
        <v>-0</v>
      </c>
      <c r="N57" s="74" t="n">
        <f aca="false">(D57-$C57)*N$27+E57*N$28+F57*N$29+G57*N$30</f>
        <v>-72083.3377</v>
      </c>
      <c r="O57" s="74" t="n">
        <f aca="false">(D57-$C57)*O$27+E57*O$28+F57*O$29+G57*O$30</f>
        <v>-0</v>
      </c>
      <c r="P57" s="74" t="n">
        <f aca="false">(D57-$C57)*P$27+E57*P$28+F57*P$29+G57*P$30</f>
        <v>-0</v>
      </c>
      <c r="Q57" s="74" t="n">
        <f aca="false">(D57-$C57)*Q$27+E57*Q$28+F57*Q$29+G57*Q$30</f>
        <v>-0</v>
      </c>
      <c r="R57" s="74" t="n">
        <f aca="false">(D57-$C57)*R$27+E57*R$28+F57*R$29+G57*R$30</f>
        <v>-0</v>
      </c>
      <c r="S57" s="74" t="n">
        <f aca="false">(D57-$C57)*S$27+E57*S$28+F57*S$29+G57*S$30</f>
        <v>-71597.22655</v>
      </c>
      <c r="T57" s="74" t="n">
        <f aca="false">(D57-$C57)*T$27+E57*T$28+F57*T$29+G57*T$30</f>
        <v>-0</v>
      </c>
      <c r="U57" s="64" t="n">
        <f aca="false">SUM(H57:T57)</f>
        <v>-216250.0131</v>
      </c>
      <c r="V57" s="111" t="n">
        <f aca="false">SUM(H$30:T$30)</f>
        <v>0</v>
      </c>
      <c r="W57" s="29" t="n">
        <f aca="false">G57*(1-V57)</f>
        <v>-71111.1154</v>
      </c>
    </row>
    <row r="58" customFormat="false" ht="15" hidden="false" customHeight="false" outlineLevel="0" collapsed="false">
      <c r="A58" s="76" t="s">
        <v>708</v>
      </c>
      <c r="B58" s="112" t="s">
        <v>690</v>
      </c>
      <c r="C58" s="113" t="n">
        <f aca="false">C46+C47+C48+C49+C50+C51+C52+C53+C54+C55+C56+C57</f>
        <v>-118044.91</v>
      </c>
      <c r="D58" s="114" t="n">
        <f aca="false">D46+D47+D48+D49+D50+D51+D52+D53+D54+D55+D56+D57</f>
        <v>-608563.326635366</v>
      </c>
      <c r="E58" s="114" t="n">
        <f aca="false">E46+E47+E48+E49+E50+E51+E52+E53+E54+E55+E56+E57</f>
        <v>-935869.705268662</v>
      </c>
      <c r="F58" s="114" t="n">
        <f aca="false">F46+F47+F48+F49+F50+F51+F52+F53+F54+F55+F56+F57</f>
        <v>-621504.520567981</v>
      </c>
      <c r="G58" s="114" t="n">
        <f aca="false">G46+G47+G48+G49+G50+G51+G52+G53+G54+G55+G56+G57</f>
        <v>-869042.842536071</v>
      </c>
      <c r="H58" s="61" t="n">
        <f aca="false">H46+H47+H48+H49+H50+H51+H52+H53+H54+H55+H56+H57</f>
        <v>-28736.7470710526</v>
      </c>
      <c r="I58" s="61" t="n">
        <f aca="false">I46+I47+I48+I49+I50+I51+I52+I53+I54+I55+I56+I57</f>
        <v>-28736.7470710526</v>
      </c>
      <c r="J58" s="61" t="n">
        <f aca="false">J46+J47+J48+J49+J50+J51+J52+J53+J54+J55+J56+J57</f>
        <v>-457604.309590035</v>
      </c>
      <c r="K58" s="61" t="n">
        <f aca="false">K46+K47+K48+K49+K50+K51+K52+K53+K54+K55+K56+K57</f>
        <v>-87427.3137997778</v>
      </c>
      <c r="L58" s="61" t="n">
        <f aca="false">L46+L47+L48+L49+L50+L51+L52+L53+L54+L55+L56+L57</f>
        <v>-30622.8548387097</v>
      </c>
      <c r="M58" s="61" t="n">
        <f aca="false">M46+M47+M48+M49+M50+M51+M52+M53+M54+M55+M56+M57</f>
        <v>-346975.319524218</v>
      </c>
      <c r="N58" s="61" t="n">
        <f aca="false">N46+N47+N48+N49+N50+N51+N52+N53+N54+N55+N56+N57</f>
        <v>-441910.136460795</v>
      </c>
      <c r="O58" s="61" t="n">
        <f aca="false">O46+O47+O48+O49+O50+O51+O52+O53+O54+O55+O56+O57</f>
        <v>-104520.898262152</v>
      </c>
      <c r="P58" s="61" t="n">
        <f aca="false">P46+P47+P48+P49+P50+P51+P52+P53+P54+P55+P56+P57</f>
        <v>-31643.6166666667</v>
      </c>
      <c r="Q58" s="61" t="n">
        <f aca="false">Q46+Q47+Q48+Q49+Q50+Q51+Q52+Q53+Q54+Q55+Q56+Q57</f>
        <v>-31643.6166666667</v>
      </c>
      <c r="R58" s="61" t="n">
        <f aca="false">R46+R47+R48+R49+R50+R51+R52+R53+R54+R55+R56+R57</f>
        <v>-31643.6166666667</v>
      </c>
      <c r="S58" s="61" t="n">
        <f aca="false">S46+S47+S48+S49+S50+S51+S52+S53+S54+S55+S56+S57</f>
        <v>-460877.022843464</v>
      </c>
      <c r="T58" s="61" t="n">
        <f aca="false">T46+T47+T48+T49+T50+T51+T52+T53+T54+T55+T56+T57</f>
        <v>-90634.2601144369</v>
      </c>
      <c r="U58" s="61" t="n">
        <f aca="false">SUM(H58:T58)</f>
        <v>-2172976.45957569</v>
      </c>
      <c r="V58" s="79"/>
      <c r="W58" s="79"/>
    </row>
    <row r="59" customFormat="false" ht="15" hidden="false" customHeight="false" outlineLevel="0" collapsed="false">
      <c r="A59" s="22" t="s">
        <v>493</v>
      </c>
      <c r="B59" s="23"/>
      <c r="C59" s="23"/>
      <c r="D59" s="23"/>
      <c r="E59" s="23"/>
      <c r="F59" s="23"/>
      <c r="G59" s="23"/>
      <c r="H59" s="23"/>
      <c r="I59" s="23"/>
      <c r="J59" s="23"/>
      <c r="K59" s="23"/>
      <c r="L59" s="23"/>
      <c r="M59" s="23"/>
      <c r="N59" s="23"/>
      <c r="O59" s="23"/>
      <c r="P59" s="23"/>
      <c r="Q59" s="23"/>
      <c r="R59" s="23"/>
      <c r="S59" s="23"/>
      <c r="T59" s="23"/>
      <c r="U59" s="23"/>
      <c r="V59" s="23"/>
      <c r="W59" s="23"/>
    </row>
    <row r="60" customFormat="false" ht="15" hidden="false" customHeight="false" outlineLevel="0" collapsed="false">
      <c r="A60" s="76" t="s">
        <v>709</v>
      </c>
      <c r="B60" s="112" t="s">
        <v>690</v>
      </c>
      <c r="C60" s="61" t="n">
        <f aca="false">C44+C58</f>
        <v>37382.09</v>
      </c>
      <c r="D60" s="114" t="n">
        <f aca="false">D44+D58</f>
        <v>-87144.9777581627</v>
      </c>
      <c r="E60" s="114" t="n">
        <f aca="false">E44+E58</f>
        <v>-336128.567255694</v>
      </c>
      <c r="F60" s="114" t="n">
        <f aca="false">F44+F58</f>
        <v>35825.7605816956</v>
      </c>
      <c r="G60" s="114" t="n">
        <f aca="false">G44+G58</f>
        <v>-231678.372284916</v>
      </c>
      <c r="H60" s="61" t="n">
        <f aca="false">H44+H58</f>
        <v>70171.6121573905</v>
      </c>
      <c r="I60" s="61" t="n">
        <f aca="false">I44+I58</f>
        <v>167697.414557391</v>
      </c>
      <c r="J60" s="61" t="n">
        <f aca="false">J44+J58</f>
        <v>-357667.067893434</v>
      </c>
      <c r="K60" s="61" t="n">
        <f aca="false">K44+K58</f>
        <v>15082.1340672174</v>
      </c>
      <c r="L60" s="61" t="n">
        <f aca="false">L44+L58</f>
        <v>71886.5930282856</v>
      </c>
      <c r="M60" s="61" t="n">
        <f aca="false">M44+M58</f>
        <v>-244465.871657222</v>
      </c>
      <c r="N60" s="61" t="n">
        <f aca="false">N44+N58</f>
        <v>-193629.96256324</v>
      </c>
      <c r="O60" s="61" t="n">
        <f aca="false">O44+O58</f>
        <v>-392.462900112587</v>
      </c>
      <c r="P60" s="61" t="n">
        <f aca="false">P44+P58</f>
        <v>72754.6499445464</v>
      </c>
      <c r="Q60" s="61" t="n">
        <f aca="false">Q44+Q58</f>
        <v>72754.6499445464</v>
      </c>
      <c r="R60" s="61" t="n">
        <f aca="false">R44+R58</f>
        <v>282663.788474739</v>
      </c>
      <c r="S60" s="61" t="n">
        <f aca="false">S44+S58</f>
        <v>-357046.173874833</v>
      </c>
      <c r="T60" s="61" t="n">
        <f aca="false">T44+T58</f>
        <v>12771.0256222569</v>
      </c>
      <c r="U60" s="61" t="n">
        <f aca="false">SUM(H60:T60)</f>
        <v>-387419.671092469</v>
      </c>
      <c r="V60" s="79"/>
      <c r="W60" s="79"/>
    </row>
    <row r="61" customFormat="false" ht="15" hidden="false" customHeight="false" outlineLevel="0" collapsed="false">
      <c r="A61" s="0" t="s">
        <v>495</v>
      </c>
      <c r="B61" s="63" t="s">
        <v>710</v>
      </c>
      <c r="C61" s="89" t="n">
        <f aca="false">INDEX(BS!$E$9:$AB$9,Assumptions!$C$10)+C60</f>
        <v>4351598.7301</v>
      </c>
      <c r="H61" s="29" t="n">
        <f aca="false">C61</f>
        <v>4351598.7301</v>
      </c>
      <c r="I61" s="29" t="n">
        <f aca="false">H62</f>
        <v>4421770.34225739</v>
      </c>
      <c r="J61" s="29" t="n">
        <f aca="false">I62</f>
        <v>4589467.75681478</v>
      </c>
      <c r="K61" s="29" t="n">
        <f aca="false">J62</f>
        <v>4231800.68892135</v>
      </c>
      <c r="L61" s="29" t="n">
        <f aca="false">K62</f>
        <v>4246882.82298857</v>
      </c>
      <c r="M61" s="29" t="n">
        <f aca="false">L62</f>
        <v>4318769.41601685</v>
      </c>
      <c r="N61" s="29" t="n">
        <f aca="false">M62</f>
        <v>4074303.54435963</v>
      </c>
      <c r="O61" s="29" t="n">
        <f aca="false">N62</f>
        <v>3880673.58179639</v>
      </c>
      <c r="P61" s="29" t="n">
        <f aca="false">O62</f>
        <v>3880281.11889628</v>
      </c>
      <c r="Q61" s="29" t="n">
        <f aca="false">P62</f>
        <v>3953035.76884082</v>
      </c>
      <c r="R61" s="29" t="n">
        <f aca="false">Q62</f>
        <v>4025790.41878537</v>
      </c>
      <c r="S61" s="29" t="n">
        <f aca="false">R62</f>
        <v>4308454.20726011</v>
      </c>
      <c r="T61" s="29" t="n">
        <f aca="false">S62</f>
        <v>3951408.03338527</v>
      </c>
    </row>
    <row r="62" customFormat="false" ht="15" hidden="false" customHeight="false" outlineLevel="0" collapsed="false">
      <c r="A62" s="76" t="s">
        <v>711</v>
      </c>
      <c r="B62" s="79"/>
      <c r="C62" s="79"/>
      <c r="D62" s="79"/>
      <c r="E62" s="79"/>
      <c r="F62" s="79"/>
      <c r="G62" s="79"/>
      <c r="H62" s="61" t="n">
        <f aca="false">H61+H60</f>
        <v>4421770.34225739</v>
      </c>
      <c r="I62" s="61" t="n">
        <f aca="false">I61+I60</f>
        <v>4589467.75681478</v>
      </c>
      <c r="J62" s="61" t="n">
        <f aca="false">J61+J60</f>
        <v>4231800.68892135</v>
      </c>
      <c r="K62" s="61" t="n">
        <f aca="false">K61+K60</f>
        <v>4246882.82298857</v>
      </c>
      <c r="L62" s="61" t="n">
        <f aca="false">L61+L60</f>
        <v>4318769.41601685</v>
      </c>
      <c r="M62" s="61" t="n">
        <f aca="false">M61+M60</f>
        <v>4074303.54435963</v>
      </c>
      <c r="N62" s="61" t="n">
        <f aca="false">N61+N60</f>
        <v>3880673.58179639</v>
      </c>
      <c r="O62" s="61" t="n">
        <f aca="false">O61+O60</f>
        <v>3880281.11889628</v>
      </c>
      <c r="P62" s="61" t="n">
        <f aca="false">P61+P60</f>
        <v>3953035.76884082</v>
      </c>
      <c r="Q62" s="61" t="n">
        <f aca="false">Q61+Q60</f>
        <v>4025790.41878537</v>
      </c>
      <c r="R62" s="61" t="n">
        <f aca="false">R61+R60</f>
        <v>4308454.20726011</v>
      </c>
      <c r="S62" s="61" t="n">
        <f aca="false">S61+S60</f>
        <v>3951408.03338527</v>
      </c>
      <c r="T62" s="61" t="n">
        <f aca="false">T61+T60</f>
        <v>3964179.05900753</v>
      </c>
      <c r="U62" s="79"/>
      <c r="V62" s="79"/>
      <c r="W62" s="79"/>
    </row>
    <row r="64" customFormat="false" ht="15" hidden="false" customHeight="false" outlineLevel="0" collapsed="false">
      <c r="A64" s="22" t="s">
        <v>712</v>
      </c>
      <c r="B64" s="23"/>
      <c r="C64" s="23"/>
      <c r="D64" s="23"/>
      <c r="E64" s="23"/>
      <c r="F64" s="23"/>
      <c r="G64" s="23"/>
      <c r="H64" s="23"/>
      <c r="I64" s="23"/>
      <c r="J64" s="23"/>
      <c r="K64" s="23"/>
      <c r="L64" s="23"/>
      <c r="M64" s="23"/>
      <c r="N64" s="23"/>
      <c r="O64" s="23"/>
      <c r="P64" s="23"/>
      <c r="Q64" s="23"/>
      <c r="R64" s="23"/>
      <c r="S64" s="23"/>
      <c r="T64" s="23"/>
      <c r="U64" s="23"/>
      <c r="V64" s="23"/>
      <c r="W64" s="23"/>
    </row>
    <row r="65" customFormat="false" ht="15" hidden="false" customHeight="false" outlineLevel="0" collapsed="false">
      <c r="A65" s="0" t="s">
        <v>713</v>
      </c>
      <c r="H65" s="65" t="n">
        <f aca="false">Assumptions!$C$13</f>
        <v>1000000</v>
      </c>
      <c r="I65" s="65" t="n">
        <f aca="false">Assumptions!$C$13</f>
        <v>1000000</v>
      </c>
      <c r="J65" s="65" t="n">
        <f aca="false">Assumptions!$C$13</f>
        <v>1000000</v>
      </c>
      <c r="K65" s="65" t="n">
        <f aca="false">Assumptions!$C$13</f>
        <v>1000000</v>
      </c>
      <c r="L65" s="65" t="n">
        <f aca="false">Assumptions!$C$13</f>
        <v>1000000</v>
      </c>
      <c r="M65" s="65" t="n">
        <f aca="false">Assumptions!$C$13</f>
        <v>1000000</v>
      </c>
      <c r="N65" s="65" t="n">
        <f aca="false">Assumptions!$C$13</f>
        <v>1000000</v>
      </c>
      <c r="O65" s="65" t="n">
        <f aca="false">Assumptions!$C$13</f>
        <v>1000000</v>
      </c>
      <c r="P65" s="65" t="n">
        <f aca="false">Assumptions!$C$13</f>
        <v>1000000</v>
      </c>
      <c r="Q65" s="65" t="n">
        <f aca="false">Assumptions!$C$13</f>
        <v>1000000</v>
      </c>
      <c r="R65" s="65" t="n">
        <f aca="false">Assumptions!$C$13</f>
        <v>1000000</v>
      </c>
      <c r="S65" s="65" t="n">
        <f aca="false">Assumptions!$C$13</f>
        <v>1000000</v>
      </c>
      <c r="T65" s="65" t="n">
        <f aca="false">Assumptions!$C$13</f>
        <v>1000000</v>
      </c>
    </row>
    <row r="66" customFormat="false" ht="15" hidden="false" customHeight="false" outlineLevel="0" collapsed="false">
      <c r="A66" s="5" t="s">
        <v>714</v>
      </c>
      <c r="H66" s="36" t="n">
        <f aca="false">H62-H65</f>
        <v>3421770.34225739</v>
      </c>
      <c r="I66" s="36" t="n">
        <f aca="false">I62-I65</f>
        <v>3589467.75681478</v>
      </c>
      <c r="J66" s="36" t="n">
        <f aca="false">J62-J65</f>
        <v>3231800.68892135</v>
      </c>
      <c r="K66" s="36" t="n">
        <f aca="false">K62-K65</f>
        <v>3246882.82298857</v>
      </c>
      <c r="L66" s="36" t="n">
        <f aca="false">L62-L65</f>
        <v>3318769.41601685</v>
      </c>
      <c r="M66" s="36" t="n">
        <f aca="false">M62-M65</f>
        <v>3074303.54435963</v>
      </c>
      <c r="N66" s="36" t="n">
        <f aca="false">N62-N65</f>
        <v>2880673.58179639</v>
      </c>
      <c r="O66" s="36" t="n">
        <f aca="false">O62-O65</f>
        <v>2880281.11889628</v>
      </c>
      <c r="P66" s="36" t="n">
        <f aca="false">P62-P65</f>
        <v>2953035.76884082</v>
      </c>
      <c r="Q66" s="36" t="n">
        <f aca="false">Q62-Q65</f>
        <v>3025790.41878537</v>
      </c>
      <c r="R66" s="36" t="n">
        <f aca="false">R62-R65</f>
        <v>3308454.20726011</v>
      </c>
      <c r="S66" s="36" t="n">
        <f aca="false">S62-S65</f>
        <v>2951408.03338527</v>
      </c>
      <c r="T66" s="36" t="n">
        <f aca="false">T62-T65</f>
        <v>2964179.05900753</v>
      </c>
    </row>
    <row r="67" customFormat="false" ht="15" hidden="false" customHeight="false" outlineLevel="0" collapsed="false">
      <c r="A67" s="0" t="s">
        <v>154</v>
      </c>
      <c r="H67" s="31" t="str">
        <f aca="false">IF(H62&lt;0,"NEGATIVE",IF(H66&lt;0,"BELOW BUFFER","OK"))</f>
        <v>OK</v>
      </c>
      <c r="I67" s="31" t="str">
        <f aca="false">IF(I62&lt;0,"NEGATIVE",IF(I66&lt;0,"BELOW BUFFER","OK"))</f>
        <v>OK</v>
      </c>
      <c r="J67" s="31" t="str">
        <f aca="false">IF(J62&lt;0,"NEGATIVE",IF(J66&lt;0,"BELOW BUFFER","OK"))</f>
        <v>OK</v>
      </c>
      <c r="K67" s="31" t="str">
        <f aca="false">IF(K62&lt;0,"NEGATIVE",IF(K66&lt;0,"BELOW BUFFER","OK"))</f>
        <v>OK</v>
      </c>
      <c r="L67" s="31" t="str">
        <f aca="false">IF(L62&lt;0,"NEGATIVE",IF(L66&lt;0,"BELOW BUFFER","OK"))</f>
        <v>OK</v>
      </c>
      <c r="M67" s="31" t="str">
        <f aca="false">IF(M62&lt;0,"NEGATIVE",IF(M66&lt;0,"BELOW BUFFER","OK"))</f>
        <v>OK</v>
      </c>
      <c r="N67" s="31" t="str">
        <f aca="false">IF(N62&lt;0,"NEGATIVE",IF(N66&lt;0,"BELOW BUFFER","OK"))</f>
        <v>OK</v>
      </c>
      <c r="O67" s="31" t="str">
        <f aca="false">IF(O62&lt;0,"NEGATIVE",IF(O66&lt;0,"BELOW BUFFER","OK"))</f>
        <v>OK</v>
      </c>
      <c r="P67" s="31" t="str">
        <f aca="false">IF(P62&lt;0,"NEGATIVE",IF(P66&lt;0,"BELOW BUFFER","OK"))</f>
        <v>OK</v>
      </c>
      <c r="Q67" s="31" t="str">
        <f aca="false">IF(Q62&lt;0,"NEGATIVE",IF(Q66&lt;0,"BELOW BUFFER","OK"))</f>
        <v>OK</v>
      </c>
      <c r="R67" s="31" t="str">
        <f aca="false">IF(R62&lt;0,"NEGATIVE",IF(R66&lt;0,"BELOW BUFFER","OK"))</f>
        <v>OK</v>
      </c>
      <c r="S67" s="31" t="str">
        <f aca="false">IF(S62&lt;0,"NEGATIVE",IF(S66&lt;0,"BELOW BUFFER","OK"))</f>
        <v>OK</v>
      </c>
      <c r="T67" s="31" t="str">
        <f aca="false">IF(T62&lt;0,"NEGATIVE",IF(T66&lt;0,"BELOW BUFFER","OK"))</f>
        <v>OK</v>
      </c>
    </row>
    <row r="68" customFormat="false" ht="15" hidden="false" customHeight="false" outlineLevel="0" collapsed="false">
      <c r="A68" s="0" t="s">
        <v>715</v>
      </c>
      <c r="C68" s="36" t="n">
        <f aca="false">MIN(H62:T62)</f>
        <v>3880281.11889628</v>
      </c>
    </row>
    <row r="69" customFormat="false" ht="15" hidden="false" customHeight="false" outlineLevel="0" collapsed="false">
      <c r="A69" s="0" t="s">
        <v>716</v>
      </c>
      <c r="C69" s="115" t="n">
        <f aca="false">INDEX(H$6:T$6,MATCH(MIN(H62:T62),H62:T62,0))</f>
        <v>46332</v>
      </c>
    </row>
    <row r="70" customFormat="false" ht="15" hidden="false" customHeight="false" outlineLevel="0" collapsed="false">
      <c r="A70" s="0" t="s">
        <v>717</v>
      </c>
      <c r="C70" s="36" t="n">
        <f aca="false">MIN(H66:T66)</f>
        <v>2880281.11889628</v>
      </c>
    </row>
    <row r="71" customFormat="false" ht="15" hidden="false" customHeight="false" outlineLevel="0" collapsed="false">
      <c r="A71" s="0" t="s">
        <v>718</v>
      </c>
      <c r="C71" s="36" t="n">
        <f aca="false">Assumptions!$C$14</f>
        <v>0</v>
      </c>
    </row>
    <row r="72" customFormat="false" ht="15" hidden="false" customHeight="false" outlineLevel="0" collapsed="false">
      <c r="A72" s="0" t="s">
        <v>719</v>
      </c>
      <c r="C72" s="36" t="n">
        <f aca="false">Assumptions!$C$14+MIN(0,MIN(H66:T66))</f>
        <v>0</v>
      </c>
    </row>
    <row r="73" customFormat="false" ht="15" hidden="false" customHeight="false" outlineLevel="0" collapsed="false">
      <c r="A73" s="0" t="s">
        <v>720</v>
      </c>
      <c r="C73" s="36" t="n">
        <f aca="false">-(SUM(H47:T47)+SUM(H48:T48)+SUM(H49:T49)+SUM(H50:T50)+SUM(H51:T51))</f>
        <v>691792.216511075</v>
      </c>
    </row>
    <row r="75" customFormat="false" ht="15" hidden="false" customHeight="false" outlineLevel="0" collapsed="false">
      <c r="A75" s="22" t="s">
        <v>721</v>
      </c>
      <c r="B75" s="23"/>
      <c r="C75" s="23"/>
      <c r="D75" s="23"/>
      <c r="E75" s="23"/>
      <c r="F75" s="23"/>
      <c r="G75" s="23"/>
      <c r="H75" s="23"/>
      <c r="I75" s="23"/>
      <c r="J75" s="23"/>
      <c r="K75" s="23"/>
      <c r="L75" s="23"/>
      <c r="M75" s="23"/>
      <c r="N75" s="23"/>
      <c r="O75" s="23"/>
      <c r="P75" s="23"/>
      <c r="Q75" s="23"/>
      <c r="R75" s="23"/>
      <c r="S75" s="23"/>
      <c r="T75" s="23"/>
      <c r="U75" s="23"/>
      <c r="V75" s="23"/>
      <c r="W75" s="23"/>
    </row>
    <row r="76" customFormat="false" ht="15" hidden="false" customHeight="false" outlineLevel="0" collapsed="false">
      <c r="A76" s="86" t="s">
        <v>722</v>
      </c>
      <c r="C76" s="74" t="n">
        <f aca="false">T62</f>
        <v>3964179.05900753</v>
      </c>
    </row>
    <row r="77" customFormat="false" ht="15" hidden="false" customHeight="false" outlineLevel="0" collapsed="false">
      <c r="A77" s="86" t="s">
        <v>723</v>
      </c>
      <c r="C77" s="74" t="n">
        <f aca="false">SUM(W41:W57)</f>
        <v>-269088.575624607</v>
      </c>
    </row>
    <row r="78" customFormat="false" ht="15" hidden="false" customHeight="false" outlineLevel="0" collapsed="false">
      <c r="A78" s="5" t="s">
        <v>724</v>
      </c>
      <c r="C78" s="36" t="n">
        <f aca="false">C76+C77</f>
        <v>3695090.48338292</v>
      </c>
    </row>
    <row r="79" customFormat="false" ht="15" hidden="false" customHeight="false" outlineLevel="0" collapsed="false">
      <c r="A79" s="86" t="s">
        <v>725</v>
      </c>
      <c r="C79" s="74" t="n">
        <f aca="false">BS!P9</f>
        <v>3695090.48338292</v>
      </c>
    </row>
    <row r="80" customFormat="false" ht="15" hidden="false" customHeight="false" outlineLevel="0" collapsed="false">
      <c r="A80" s="5" t="s">
        <v>726</v>
      </c>
      <c r="C80" s="36" t="n">
        <f aca="false">ROUND(C78-C79,0)</f>
        <v>0</v>
      </c>
    </row>
    <row r="82" customFormat="false" ht="15" hidden="false" customHeight="false" outlineLevel="0" collapsed="false">
      <c r="A82" s="22" t="s">
        <v>727</v>
      </c>
      <c r="B82" s="23"/>
      <c r="C82" s="23"/>
      <c r="D82" s="23"/>
      <c r="E82" s="23"/>
      <c r="F82" s="23"/>
      <c r="G82" s="23"/>
      <c r="H82" s="23"/>
      <c r="I82" s="23"/>
      <c r="J82" s="23"/>
      <c r="K82" s="23"/>
      <c r="L82" s="23"/>
      <c r="M82" s="23"/>
      <c r="N82" s="23"/>
      <c r="O82" s="23"/>
      <c r="P82" s="23"/>
      <c r="Q82" s="23"/>
      <c r="R82" s="23"/>
      <c r="S82" s="23"/>
      <c r="T82" s="23"/>
      <c r="U82" s="23"/>
      <c r="V82" s="23"/>
      <c r="W82" s="23"/>
    </row>
    <row r="83" customFormat="false" ht="15" hidden="false" customHeight="false" outlineLevel="0" collapsed="false">
      <c r="A83" s="13" t="str">
        <f aca="false">"1. Settle the Brandelo Cafes dispute: EUR "&amp;TEXT(Assumptions!$C$147/1000,"#,##0")&amp;"k June renewal invoice open since June. A credit against the next renewal for the locations in dispute costs less than holding the whole invoice."</f>
        <v>1. Settle the Brandelo Cafes dispute: EUR 61k June renewal invoice open since June. A credit against the next renewal for the locations in dispute costs less than holding the whole invoice.</v>
      </c>
    </row>
    <row r="84" customFormat="false" ht="15" hidden="false" customHeight="false" outlineLevel="0" collapsed="false">
      <c r="A84" s="13" t="str">
        <f aca="false">"2. Offer Essentials customers an annual plan paid upfront with one month free: eleven months of cash arrive on the day of the switch."</f>
        <v>2. Offer Essentials customers an annual plan paid upfront with one month free: eleven months of cash arrive on the day of the switch.</v>
      </c>
    </row>
    <row r="85" customFormat="false" ht="15" hidden="false" customHeight="false" outlineLevel="0" collapsed="false">
      <c r="A85" s="13" t="str">
        <f aca="false">"3. Hold the hires planned for Sep-26 to Dec-26 (People) if the headroom over the covenant floor in any week falls below EUR 1.5m, the trigger in the CFO report."</f>
        <v>3. Hold the hires planned for Sep-26 to Dec-26 (People) if the headroom over the covenant floor in any week falls below EUR 1.5m, the trigger in the CFO report.</v>
      </c>
    </row>
    <row r="86" customFormat="false" ht="15" hidden="false" customHeight="false" outlineLevel="0" collapsed="false">
      <c r="A86" s="13" t="str">
        <f aca="false">"4. Open talks with the venture lender now on a covenant reset or a further interest-only period: EUR "&amp;TEXT(Assumptions!$C$161/1000,"#,##0")&amp;"k of principal plus interest leaves every month until the last instalment in July 2029."</f>
        <v>4. Open talks with the venture lender now on a covenant reset or a further interest-only period: EUR 56k of principal plus interest leaves every month until the last instalment in July 2029.</v>
      </c>
    </row>
    <row r="87" customFormat="false" ht="15" hidden="false" customHeight="false" outlineLevel="0" collapsed="false">
      <c r="A87" s="13" t="str">
        <f aca="false">"5. Invoice Enterprise renewals 30 days before the anniversary with the payment due on the start date, instead of on the anniversary with 45-day terms."</f>
        <v>5. Invoice Enterprise renewals 30 days before the anniversary with the payment due on the start date, instead of on the anniversary with 45-day terms.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728</v>
      </c>
    </row>
    <row r="3" customFormat="false" ht="15" hidden="false" customHeight="false" outlineLevel="0" collapsed="false">
      <c r="A3" s="50" t="s">
        <v>729</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730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731</v>
      </c>
      <c r="B9" s="63"/>
      <c r="E9" s="65" t="n">
        <f aca="false">Subscriptions!E111</f>
        <v>164218.83</v>
      </c>
      <c r="F9" s="65" t="n">
        <f aca="false">Subscriptions!F111</f>
        <v>174978.24</v>
      </c>
      <c r="G9" s="65" t="n">
        <f aca="false">Subscriptions!G111</f>
        <v>177795.19</v>
      </c>
      <c r="H9" s="65" t="n">
        <f aca="false">Subscriptions!H111</f>
        <v>182441.8</v>
      </c>
      <c r="I9" s="65" t="n">
        <f aca="false">Subscriptions!I111</f>
        <v>185266.36</v>
      </c>
      <c r="J9" s="65" t="n">
        <f aca="false">Subscriptions!J111</f>
        <v>186670.07</v>
      </c>
      <c r="K9" s="65" t="n">
        <f aca="false">Subscriptions!K111</f>
        <v>188010.67</v>
      </c>
      <c r="L9" s="65" t="n">
        <f aca="false">Subscriptions!L111</f>
        <v>193092.08</v>
      </c>
      <c r="M9" s="65" t="n">
        <f aca="false">Subscriptions!M111</f>
        <v>193793.2</v>
      </c>
      <c r="N9" s="65" t="n">
        <f aca="false">Subscriptions!N111</f>
        <v>197510.54199</v>
      </c>
      <c r="O9" s="65" t="n">
        <f aca="false">Subscriptions!O111</f>
        <v>201389.981659303</v>
      </c>
      <c r="P9" s="65" t="n">
        <f aca="false">Subscriptions!P111</f>
        <v>204577.130406235</v>
      </c>
      <c r="Q9" s="65" t="n">
        <f aca="false">Subscriptions!Q111</f>
        <v>206620.769301376</v>
      </c>
      <c r="R9" s="65" t="n">
        <f aca="false">Subscriptions!R111</f>
        <v>221529.16542104</v>
      </c>
      <c r="S9" s="65" t="n">
        <f aca="false">Subscriptions!S111</f>
        <v>225107.101002617</v>
      </c>
      <c r="T9" s="65" t="n">
        <f aca="false">Subscriptions!T111</f>
        <v>228435.848599049</v>
      </c>
      <c r="U9" s="65" t="n">
        <f aca="false">Subscriptions!U111</f>
        <v>231378.848655521</v>
      </c>
      <c r="V9" s="65" t="n">
        <f aca="false">Subscriptions!V111</f>
        <v>234298.743785971</v>
      </c>
      <c r="W9" s="65" t="n">
        <f aca="false">Subscriptions!W111</f>
        <v>236849.87830248</v>
      </c>
      <c r="X9" s="65" t="n">
        <f aca="false">Subscriptions!X111</f>
        <v>238726.323980879</v>
      </c>
      <c r="Y9" s="65" t="n">
        <f aca="false">Subscriptions!Y111</f>
        <v>239484.052549134</v>
      </c>
      <c r="Z9" s="65" t="n">
        <f aca="false">Subscriptions!Z111</f>
        <v>242896.501665807</v>
      </c>
      <c r="AA9" s="65" t="n">
        <f aca="false">Subscriptions!AA111</f>
        <v>246515.843407558</v>
      </c>
      <c r="AB9" s="65" t="n">
        <f aca="false">Subscriptions!AB111</f>
        <v>249407.831021413</v>
      </c>
    </row>
    <row r="10" customFormat="false" ht="15" hidden="false" customHeight="false" outlineLevel="0" collapsed="false">
      <c r="A10" s="28" t="s">
        <v>732</v>
      </c>
      <c r="B10" s="63" t="s">
        <v>54</v>
      </c>
      <c r="C10" s="64" t="n">
        <f aca="false">SUM(E10:P10)</f>
        <v>73671.732</v>
      </c>
      <c r="D10" s="64" t="n">
        <f aca="false">SUM(Q10:AB10)</f>
        <v>78246</v>
      </c>
      <c r="E10" s="65" t="n">
        <f aca="false">Subscriptions!E112</f>
        <v>6167.42</v>
      </c>
      <c r="F10" s="65" t="n">
        <f aca="false">Subscriptions!F112</f>
        <v>7044.4</v>
      </c>
      <c r="G10" s="65" t="n">
        <f aca="false">Subscriptions!G112</f>
        <v>6938.22</v>
      </c>
      <c r="H10" s="65" t="n">
        <f aca="false">Subscriptions!H112</f>
        <v>5811.95</v>
      </c>
      <c r="I10" s="65" t="n">
        <f aca="false">Subscriptions!I112</f>
        <v>4499.94</v>
      </c>
      <c r="J10" s="65" t="n">
        <f aca="false">Subscriptions!J112</f>
        <v>6642.93</v>
      </c>
      <c r="K10" s="65" t="n">
        <f aca="false">Subscriptions!K112</f>
        <v>6680.55</v>
      </c>
      <c r="L10" s="65" t="n">
        <f aca="false">Subscriptions!L112</f>
        <v>4399.24</v>
      </c>
      <c r="M10" s="65" t="n">
        <f aca="false">Subscriptions!M112</f>
        <v>6763.311</v>
      </c>
      <c r="N10" s="65" t="n">
        <f aca="false">Subscriptions!N112</f>
        <v>7013.574</v>
      </c>
      <c r="O10" s="65" t="n">
        <f aca="false">Subscriptions!O112</f>
        <v>6387.606</v>
      </c>
      <c r="P10" s="65" t="n">
        <f aca="false">Subscriptions!P112</f>
        <v>5322.591</v>
      </c>
      <c r="Q10" s="65" t="n">
        <f aca="false">Subscriptions!Q112</f>
        <v>8022.17115</v>
      </c>
      <c r="R10" s="65" t="n">
        <f aca="false">Subscriptions!R112</f>
        <v>7101.47655</v>
      </c>
      <c r="S10" s="65" t="n">
        <f aca="false">Subscriptions!S112</f>
        <v>6903.9054</v>
      </c>
      <c r="T10" s="65" t="n">
        <f aca="false">Subscriptions!T112</f>
        <v>6575.2722</v>
      </c>
      <c r="U10" s="65" t="n">
        <f aca="false">Subscriptions!U112</f>
        <v>6575.2722</v>
      </c>
      <c r="V10" s="65" t="n">
        <f aca="false">Subscriptions!V112</f>
        <v>6246.639</v>
      </c>
      <c r="W10" s="65" t="n">
        <f aca="false">Subscriptions!W112</f>
        <v>5588.72055</v>
      </c>
      <c r="X10" s="65" t="n">
        <f aca="false">Subscriptions!X112</f>
        <v>4471.10685</v>
      </c>
      <c r="Y10" s="65" t="n">
        <f aca="false">Subscriptions!Y112</f>
        <v>7101.47655</v>
      </c>
      <c r="Z10" s="65" t="n">
        <f aca="false">Subscriptions!Z112</f>
        <v>7364.2527</v>
      </c>
      <c r="AA10" s="65" t="n">
        <f aca="false">Subscriptions!AA112</f>
        <v>6706.9863</v>
      </c>
      <c r="AB10" s="65" t="n">
        <f aca="false">Subscriptions!AB112</f>
        <v>5588.72055</v>
      </c>
    </row>
    <row r="11" customFormat="false" ht="15" hidden="false" customHeight="false" outlineLevel="0" collapsed="false">
      <c r="A11" s="28" t="s">
        <v>733</v>
      </c>
      <c r="B11" s="63" t="s">
        <v>54</v>
      </c>
      <c r="C11" s="64" t="n">
        <f aca="false">SUM(E11:P11)</f>
        <v>23278.4339675832</v>
      </c>
      <c r="D11" s="64" t="n">
        <f aca="false">SUM(Q11:AB11)</f>
        <v>29413.1345307749</v>
      </c>
      <c r="E11" s="65" t="n">
        <f aca="false">Subscriptions!E114</f>
        <v>1668.66</v>
      </c>
      <c r="F11" s="65" t="n">
        <f aca="false">Subscriptions!F114</f>
        <v>1737.76</v>
      </c>
      <c r="G11" s="65" t="n">
        <f aca="false">Subscriptions!G114</f>
        <v>1798.7</v>
      </c>
      <c r="H11" s="65" t="n">
        <f aca="false">Subscriptions!H114</f>
        <v>1964.42</v>
      </c>
      <c r="I11" s="65" t="n">
        <f aca="false">Subscriptions!I114</f>
        <v>2026.24</v>
      </c>
      <c r="J11" s="65" t="n">
        <f aca="false">Subscriptions!J114</f>
        <v>1931.02</v>
      </c>
      <c r="K11" s="65" t="n">
        <f aca="false">Subscriptions!K114</f>
        <v>1751.22</v>
      </c>
      <c r="L11" s="65" t="n">
        <f aca="false">Subscriptions!L114</f>
        <v>2029.07</v>
      </c>
      <c r="M11" s="65" t="n">
        <f aca="false">Subscriptions!M114</f>
        <v>2034.8286</v>
      </c>
      <c r="N11" s="65" t="n">
        <f aca="false">Subscriptions!N114</f>
        <v>2073.860690895</v>
      </c>
      <c r="O11" s="65" t="n">
        <f aca="false">Subscriptions!O114</f>
        <v>2114.59480742268</v>
      </c>
      <c r="P11" s="65" t="n">
        <f aca="false">Subscriptions!P114</f>
        <v>2148.05986926547</v>
      </c>
      <c r="Q11" s="65" t="n">
        <f aca="false">Subscriptions!Q114</f>
        <v>2169.51807766445</v>
      </c>
      <c r="R11" s="65" t="n">
        <f aca="false">Subscriptions!R114</f>
        <v>2326.05623692092</v>
      </c>
      <c r="S11" s="65" t="n">
        <f aca="false">Subscriptions!S114</f>
        <v>2363.62456052748</v>
      </c>
      <c r="T11" s="65" t="n">
        <f aca="false">Subscriptions!T114</f>
        <v>2398.57641029002</v>
      </c>
      <c r="U11" s="65" t="n">
        <f aca="false">Subscriptions!U114</f>
        <v>2429.47791088297</v>
      </c>
      <c r="V11" s="65" t="n">
        <f aca="false">Subscriptions!V114</f>
        <v>2460.1368097527</v>
      </c>
      <c r="W11" s="65" t="n">
        <f aca="false">Subscriptions!W114</f>
        <v>2486.92372217604</v>
      </c>
      <c r="X11" s="65" t="n">
        <f aca="false">Subscriptions!X114</f>
        <v>2506.62640179923</v>
      </c>
      <c r="Y11" s="65" t="n">
        <f aca="false">Subscriptions!Y114</f>
        <v>2514.58255176591</v>
      </c>
      <c r="Z11" s="65" t="n">
        <f aca="false">Subscriptions!Z114</f>
        <v>2550.41326749098</v>
      </c>
      <c r="AA11" s="65" t="n">
        <f aca="false">Subscriptions!AA114</f>
        <v>2588.41635577936</v>
      </c>
      <c r="AB11" s="65" t="n">
        <f aca="false">Subscriptions!AB114</f>
        <v>2618.78222572484</v>
      </c>
    </row>
    <row r="12" customFormat="false" ht="15" hidden="false" customHeight="false" outlineLevel="0" collapsed="false">
      <c r="A12" s="28" t="s">
        <v>734</v>
      </c>
      <c r="B12" s="63" t="s">
        <v>54</v>
      </c>
      <c r="C12" s="64" t="n">
        <f aca="false">SUM(E12:P12)</f>
        <v>8038.61</v>
      </c>
      <c r="D12" s="64" t="n">
        <f aca="false">SUM(Q12:AB12)</f>
        <v>10166.9997271924</v>
      </c>
      <c r="E12" s="65" t="n">
        <f aca="false">Subscriptions!E116</f>
        <v>8038.61</v>
      </c>
      <c r="F12" s="65" t="n">
        <f aca="false">Subscriptions!F116</f>
        <v>0</v>
      </c>
      <c r="G12" s="65" t="n">
        <f aca="false">Subscriptions!G116</f>
        <v>0</v>
      </c>
      <c r="H12" s="65" t="n">
        <f aca="false">Subscriptions!H116</f>
        <v>0</v>
      </c>
      <c r="I12" s="65" t="n">
        <f aca="false">Subscriptions!I116</f>
        <v>0</v>
      </c>
      <c r="J12" s="65" t="n">
        <f aca="false">Subscriptions!J116</f>
        <v>0</v>
      </c>
      <c r="K12" s="65" t="n">
        <f aca="false">Subscriptions!K116</f>
        <v>0</v>
      </c>
      <c r="L12" s="65" t="n">
        <f aca="false">Subscriptions!L116</f>
        <v>0</v>
      </c>
      <c r="M12" s="65" t="n">
        <f aca="false">Subscriptions!M116</f>
        <v>0</v>
      </c>
      <c r="N12" s="65" t="n">
        <f aca="false">Subscriptions!N116</f>
        <v>0</v>
      </c>
      <c r="O12" s="65" t="n">
        <f aca="false">Subscriptions!O116</f>
        <v>0</v>
      </c>
      <c r="P12" s="65" t="n">
        <f aca="false">Subscriptions!P116</f>
        <v>0</v>
      </c>
      <c r="Q12" s="65" t="n">
        <f aca="false">Subscriptions!Q116</f>
        <v>10166.9997271924</v>
      </c>
      <c r="R12" s="65" t="n">
        <f aca="false">Subscriptions!R116</f>
        <v>0</v>
      </c>
      <c r="S12" s="65" t="n">
        <f aca="false">Subscriptions!S116</f>
        <v>0</v>
      </c>
      <c r="T12" s="65" t="n">
        <f aca="false">Subscriptions!T116</f>
        <v>0</v>
      </c>
      <c r="U12" s="65" t="n">
        <f aca="false">Subscriptions!U116</f>
        <v>0</v>
      </c>
      <c r="V12" s="65" t="n">
        <f aca="false">Subscriptions!V116</f>
        <v>0</v>
      </c>
      <c r="W12" s="65" t="n">
        <f aca="false">Subscriptions!W116</f>
        <v>0</v>
      </c>
      <c r="X12" s="65" t="n">
        <f aca="false">Subscriptions!X116</f>
        <v>0</v>
      </c>
      <c r="Y12" s="65" t="n">
        <f aca="false">Subscriptions!Y116</f>
        <v>0</v>
      </c>
      <c r="Z12" s="65" t="n">
        <f aca="false">Subscriptions!Z116</f>
        <v>0</v>
      </c>
      <c r="AA12" s="65" t="n">
        <f aca="false">Subscriptions!AA116</f>
        <v>0</v>
      </c>
      <c r="AB12" s="65" t="n">
        <f aca="false">Subscriptions!AB116</f>
        <v>0</v>
      </c>
    </row>
    <row r="13" customFormat="false" ht="15" hidden="false" customHeight="false" outlineLevel="0" collapsed="false">
      <c r="A13" s="28" t="s">
        <v>735</v>
      </c>
      <c r="B13" s="63" t="s">
        <v>54</v>
      </c>
      <c r="C13" s="64" t="n">
        <f aca="false">SUM(E13:P13)</f>
        <v>-10122.3388432499</v>
      </c>
      <c r="D13" s="64" t="n">
        <f aca="false">SUM(Q13:AB13)</f>
        <v>-12605.6290846178</v>
      </c>
      <c r="E13" s="65" t="n">
        <f aca="false">Subscriptions!E115</f>
        <v>-825.26</v>
      </c>
      <c r="F13" s="65" t="n">
        <f aca="false">Subscriptions!F115</f>
        <v>-670.71</v>
      </c>
      <c r="G13" s="65" t="n">
        <f aca="false">Subscriptions!G115</f>
        <v>-1027.85</v>
      </c>
      <c r="H13" s="65" t="n">
        <f aca="false">Subscriptions!H115</f>
        <v>-797.3</v>
      </c>
      <c r="I13" s="65" t="n">
        <f aca="false">Subscriptions!I115</f>
        <v>-665.37</v>
      </c>
      <c r="J13" s="65" t="n">
        <f aca="false">Subscriptions!J115</f>
        <v>-789.56</v>
      </c>
      <c r="K13" s="65" t="n">
        <f aca="false">Subscriptions!K115</f>
        <v>-901.1</v>
      </c>
      <c r="L13" s="65" t="n">
        <f aca="false">Subscriptions!L115</f>
        <v>-857.47</v>
      </c>
      <c r="M13" s="65" t="n">
        <f aca="false">Subscriptions!M115</f>
        <v>-872.0694</v>
      </c>
      <c r="N13" s="65" t="n">
        <f aca="false">Subscriptions!N115</f>
        <v>-888.797438955</v>
      </c>
      <c r="O13" s="65" t="n">
        <f aca="false">Subscriptions!O115</f>
        <v>-906.254917466862</v>
      </c>
      <c r="P13" s="65" t="n">
        <f aca="false">Subscriptions!P115</f>
        <v>-920.597086828059</v>
      </c>
      <c r="Q13" s="65" t="n">
        <f aca="false">Subscriptions!Q115</f>
        <v>-929.793461856192</v>
      </c>
      <c r="R13" s="65" t="n">
        <f aca="false">Subscriptions!R115</f>
        <v>-996.881244394679</v>
      </c>
      <c r="S13" s="65" t="n">
        <f aca="false">Subscriptions!S115</f>
        <v>-1012.98195451178</v>
      </c>
      <c r="T13" s="65" t="n">
        <f aca="false">Subscriptions!T115</f>
        <v>-1027.96131869572</v>
      </c>
      <c r="U13" s="65" t="n">
        <f aca="false">Subscriptions!U115</f>
        <v>-1041.20481894984</v>
      </c>
      <c r="V13" s="65" t="n">
        <f aca="false">Subscriptions!V115</f>
        <v>-1054.34434703687</v>
      </c>
      <c r="W13" s="65" t="n">
        <f aca="false">Subscriptions!W115</f>
        <v>-1065.82445236116</v>
      </c>
      <c r="X13" s="65" t="n">
        <f aca="false">Subscriptions!X115</f>
        <v>-1074.26845791395</v>
      </c>
      <c r="Y13" s="65" t="n">
        <f aca="false">Subscriptions!Y115</f>
        <v>-1077.6782364711</v>
      </c>
      <c r="Z13" s="65" t="n">
        <f aca="false">Subscriptions!Z115</f>
        <v>-1093.03425749613</v>
      </c>
      <c r="AA13" s="65" t="n">
        <f aca="false">Subscriptions!AA115</f>
        <v>-1109.32129533401</v>
      </c>
      <c r="AB13" s="65" t="n">
        <f aca="false">Subscriptions!AB115</f>
        <v>-1122.33523959636</v>
      </c>
    </row>
    <row r="14" customFormat="false" ht="15" hidden="false" customHeight="false" outlineLevel="0" collapsed="false">
      <c r="A14" s="28" t="s">
        <v>736</v>
      </c>
      <c r="B14" s="63" t="s">
        <v>54</v>
      </c>
      <c r="C14" s="64" t="n">
        <f aca="false">SUM(E14:P14)</f>
        <v>-52464.4978229572</v>
      </c>
      <c r="D14" s="64" t="n">
        <f aca="false">SUM(Q14:AB14)</f>
        <v>-60723.2697764159</v>
      </c>
      <c r="E14" s="65" t="n">
        <f aca="false">Subscriptions!E113</f>
        <v>-4290.02</v>
      </c>
      <c r="F14" s="65" t="n">
        <f aca="false">Subscriptions!F113</f>
        <v>-5294.5</v>
      </c>
      <c r="G14" s="65" t="n">
        <f aca="false">Subscriptions!G113</f>
        <v>-3062.46</v>
      </c>
      <c r="H14" s="65" t="n">
        <f aca="false">Subscriptions!H113</f>
        <v>-4154.51</v>
      </c>
      <c r="I14" s="65" t="n">
        <f aca="false">Subscriptions!I113</f>
        <v>-4457.1</v>
      </c>
      <c r="J14" s="65" t="n">
        <f aca="false">Subscriptions!J113</f>
        <v>-6443.79</v>
      </c>
      <c r="K14" s="65" t="n">
        <f aca="false">Subscriptions!K113</f>
        <v>-2449.26</v>
      </c>
      <c r="L14" s="65" t="n">
        <f aca="false">Subscriptions!L113</f>
        <v>-4869.72</v>
      </c>
      <c r="M14" s="65" t="n">
        <f aca="false">Subscriptions!M113</f>
        <v>-4208.72821</v>
      </c>
      <c r="N14" s="65" t="n">
        <f aca="false">Subscriptions!N113</f>
        <v>-4319.1975826374</v>
      </c>
      <c r="O14" s="65" t="n">
        <f aca="false">Subscriptions!O113</f>
        <v>-4408.79714302298</v>
      </c>
      <c r="P14" s="65" t="n">
        <f aca="false">Subscriptions!P113</f>
        <v>-4506.41488729677</v>
      </c>
      <c r="Q14" s="65" t="n">
        <f aca="false">Subscriptions!Q113</f>
        <v>-4520.49937333703</v>
      </c>
      <c r="R14" s="65" t="n">
        <f aca="false">Subscriptions!R113</f>
        <v>-4852.71596094902</v>
      </c>
      <c r="S14" s="65" t="n">
        <f aca="false">Subscriptions!S113</f>
        <v>-4925.80040958323</v>
      </c>
      <c r="T14" s="65" t="n">
        <f aca="false">Subscriptions!T113</f>
        <v>-5002.88723512296</v>
      </c>
      <c r="U14" s="65" t="n">
        <f aca="false">Subscriptions!U113</f>
        <v>-5043.65016148281</v>
      </c>
      <c r="V14" s="65" t="n">
        <f aca="false">Subscriptions!V113</f>
        <v>-5101.29694620687</v>
      </c>
      <c r="W14" s="65" t="n">
        <f aca="false">Subscriptions!W113</f>
        <v>-5133.37414141625</v>
      </c>
      <c r="X14" s="65" t="n">
        <f aca="false">Subscriptions!X113</f>
        <v>-5145.7362256296</v>
      </c>
      <c r="Y14" s="65" t="n">
        <f aca="false">Subscriptions!Y113</f>
        <v>-5125.93174862178</v>
      </c>
      <c r="Z14" s="65" t="n">
        <f aca="false">Subscriptions!Z113</f>
        <v>-5202.28996824432</v>
      </c>
      <c r="AA14" s="65" t="n">
        <f aca="false">Subscriptions!AA113</f>
        <v>-5294.09374658982</v>
      </c>
      <c r="AB14" s="65" t="n">
        <f aca="false">Subscriptions!AB113</f>
        <v>-5374.99385923222</v>
      </c>
    </row>
    <row r="15" customFormat="false" ht="15" hidden="false" customHeight="false" outlineLevel="0" collapsed="false">
      <c r="A15" s="59" t="s">
        <v>737</v>
      </c>
      <c r="B15" s="60"/>
      <c r="C15" s="61" t="n">
        <f aca="false">P15</f>
        <v>206620.769301376</v>
      </c>
      <c r="D15" s="61" t="n">
        <f aca="false">AB15</f>
        <v>251118.00469831</v>
      </c>
      <c r="E15" s="62" t="n">
        <f aca="false">Subscriptions!E58</f>
        <v>174978.24</v>
      </c>
      <c r="F15" s="62" t="n">
        <f aca="false">Subscriptions!F58</f>
        <v>177795.19</v>
      </c>
      <c r="G15" s="62" t="n">
        <f aca="false">Subscriptions!G58</f>
        <v>182441.8</v>
      </c>
      <c r="H15" s="62" t="n">
        <f aca="false">Subscriptions!H58</f>
        <v>185266.36</v>
      </c>
      <c r="I15" s="62" t="n">
        <f aca="false">Subscriptions!I58</f>
        <v>186670.07</v>
      </c>
      <c r="J15" s="62" t="n">
        <f aca="false">Subscriptions!J58</f>
        <v>188010.67</v>
      </c>
      <c r="K15" s="62" t="n">
        <f aca="false">Subscriptions!K58</f>
        <v>193092.08</v>
      </c>
      <c r="L15" s="62" t="n">
        <f aca="false">Subscriptions!L58</f>
        <v>193793.2</v>
      </c>
      <c r="M15" s="62" t="n">
        <f aca="false">Subscriptions!M58</f>
        <v>197510.54199</v>
      </c>
      <c r="N15" s="62" t="n">
        <f aca="false">Subscriptions!N58</f>
        <v>201389.981659303</v>
      </c>
      <c r="O15" s="62" t="n">
        <f aca="false">Subscriptions!O58</f>
        <v>204577.130406235</v>
      </c>
      <c r="P15" s="62" t="n">
        <f aca="false">Subscriptions!P58</f>
        <v>206620.769301376</v>
      </c>
      <c r="Q15" s="62" t="n">
        <f aca="false">Subscriptions!Q58</f>
        <v>221529.16542104</v>
      </c>
      <c r="R15" s="62" t="n">
        <f aca="false">Subscriptions!R58</f>
        <v>225107.101002617</v>
      </c>
      <c r="S15" s="62" t="n">
        <f aca="false">Subscriptions!S58</f>
        <v>228435.848599049</v>
      </c>
      <c r="T15" s="62" t="n">
        <f aca="false">Subscriptions!T58</f>
        <v>231378.848655521</v>
      </c>
      <c r="U15" s="62" t="n">
        <f aca="false">Subscriptions!U58</f>
        <v>234298.743785971</v>
      </c>
      <c r="V15" s="62" t="n">
        <f aca="false">Subscriptions!V58</f>
        <v>236849.87830248</v>
      </c>
      <c r="W15" s="62" t="n">
        <f aca="false">Subscriptions!W58</f>
        <v>238726.323980879</v>
      </c>
      <c r="X15" s="62" t="n">
        <f aca="false">Subscriptions!X58</f>
        <v>239484.052549134</v>
      </c>
      <c r="Y15" s="62" t="n">
        <f aca="false">Subscriptions!Y58</f>
        <v>242896.501665807</v>
      </c>
      <c r="Z15" s="62" t="n">
        <f aca="false">Subscriptions!Z58</f>
        <v>246515.843407558</v>
      </c>
      <c r="AA15" s="62" t="n">
        <f aca="false">Subscriptions!AA58</f>
        <v>249407.831021413</v>
      </c>
      <c r="AB15" s="62" t="n">
        <f aca="false">Subscriptions!AB58</f>
        <v>251118.00469831</v>
      </c>
    </row>
    <row r="16" customFormat="false" ht="15" hidden="false" customHeight="false" outlineLevel="0" collapsed="false">
      <c r="A16" s="28" t="s">
        <v>738</v>
      </c>
      <c r="B16" s="63"/>
      <c r="C16" s="64" t="n">
        <f aca="false">P16</f>
        <v>2479449.23161651</v>
      </c>
      <c r="D16" s="64" t="n">
        <f aca="false">AB16</f>
        <v>3013416.05637972</v>
      </c>
      <c r="E16" s="74" t="n">
        <f aca="false">12*E15</f>
        <v>2099738.88</v>
      </c>
      <c r="F16" s="74" t="n">
        <f aca="false">12*F15</f>
        <v>2133542.28</v>
      </c>
      <c r="G16" s="74" t="n">
        <f aca="false">12*G15</f>
        <v>2189301.6</v>
      </c>
      <c r="H16" s="74" t="n">
        <f aca="false">12*H15</f>
        <v>2223196.32</v>
      </c>
      <c r="I16" s="74" t="n">
        <f aca="false">12*I15</f>
        <v>2240040.84</v>
      </c>
      <c r="J16" s="74" t="n">
        <f aca="false">12*J15</f>
        <v>2256128.04</v>
      </c>
      <c r="K16" s="74" t="n">
        <f aca="false">12*K15</f>
        <v>2317104.96</v>
      </c>
      <c r="L16" s="74" t="n">
        <f aca="false">12*L15</f>
        <v>2325518.4</v>
      </c>
      <c r="M16" s="74" t="n">
        <f aca="false">12*M15</f>
        <v>2370126.50388</v>
      </c>
      <c r="N16" s="74" t="n">
        <f aca="false">12*N15</f>
        <v>2416679.77991163</v>
      </c>
      <c r="O16" s="74" t="n">
        <f aca="false">12*O15</f>
        <v>2454925.56487483</v>
      </c>
      <c r="P16" s="74" t="n">
        <f aca="false">12*P15</f>
        <v>2479449.23161651</v>
      </c>
      <c r="Q16" s="74" t="n">
        <f aca="false">12*Q15</f>
        <v>2658349.98505248</v>
      </c>
      <c r="R16" s="74" t="n">
        <f aca="false">12*R15</f>
        <v>2701285.2120314</v>
      </c>
      <c r="S16" s="74" t="n">
        <f aca="false">12*S15</f>
        <v>2741230.18318859</v>
      </c>
      <c r="T16" s="74" t="n">
        <f aca="false">12*T15</f>
        <v>2776546.18386625</v>
      </c>
      <c r="U16" s="74" t="n">
        <f aca="false">12*U15</f>
        <v>2811584.92543165</v>
      </c>
      <c r="V16" s="74" t="n">
        <f aca="false">12*V15</f>
        <v>2842198.53962976</v>
      </c>
      <c r="W16" s="74" t="n">
        <f aca="false">12*W15</f>
        <v>2864715.88777054</v>
      </c>
      <c r="X16" s="74" t="n">
        <f aca="false">12*X15</f>
        <v>2873808.63058961</v>
      </c>
      <c r="Y16" s="74" t="n">
        <f aca="false">12*Y15</f>
        <v>2914758.01998969</v>
      </c>
      <c r="Z16" s="74" t="n">
        <f aca="false">12*Z15</f>
        <v>2958190.12089069</v>
      </c>
      <c r="AA16" s="74" t="n">
        <f aca="false">12*AA15</f>
        <v>2992893.97225696</v>
      </c>
      <c r="AB16" s="74" t="n">
        <f aca="false">12*AB15</f>
        <v>3013416.05637972</v>
      </c>
    </row>
    <row r="17" customFormat="false" ht="15" hidden="false" customHeight="false" outlineLevel="0" collapsed="false">
      <c r="A17" s="28" t="s">
        <v>340</v>
      </c>
      <c r="B17" s="63"/>
      <c r="C17" s="68" t="n">
        <f aca="false">P17</f>
        <v>829.806754265798</v>
      </c>
      <c r="D17" s="68" t="n">
        <f aca="false">AB17</f>
        <v>917.118673747424</v>
      </c>
      <c r="E17" s="69" t="n">
        <f aca="false">Subscriptions!E109</f>
        <v>738</v>
      </c>
      <c r="F17" s="69" t="n">
        <f aca="false">Subscriptions!F109</f>
        <v>748</v>
      </c>
      <c r="G17" s="69" t="n">
        <f aca="false">Subscriptions!G109</f>
        <v>767</v>
      </c>
      <c r="H17" s="69" t="n">
        <f aca="false">Subscriptions!H109</f>
        <v>775</v>
      </c>
      <c r="I17" s="69" t="n">
        <f aca="false">Subscriptions!I109</f>
        <v>773</v>
      </c>
      <c r="J17" s="69" t="n">
        <f aca="false">Subscriptions!J109</f>
        <v>773</v>
      </c>
      <c r="K17" s="69" t="n">
        <f aca="false">Subscriptions!K109</f>
        <v>795</v>
      </c>
      <c r="L17" s="69" t="n">
        <f aca="false">Subscriptions!L109</f>
        <v>791</v>
      </c>
      <c r="M17" s="69" t="n">
        <f aca="false">Subscriptions!M109</f>
        <v>803.232</v>
      </c>
      <c r="N17" s="69" t="n">
        <f aca="false">Subscriptions!N109</f>
        <v>816.189902</v>
      </c>
      <c r="O17" s="69" t="n">
        <f aca="false">Subscriptions!O109</f>
        <v>825.77282162</v>
      </c>
      <c r="P17" s="69" t="n">
        <f aca="false">Subscriptions!P109</f>
        <v>829.806754265798</v>
      </c>
      <c r="Q17" s="69" t="n">
        <f aca="false">Subscriptions!Q109</f>
        <v>845.067687450849</v>
      </c>
      <c r="R17" s="69" t="n">
        <f aca="false">Subscriptions!R109</f>
        <v>855.653370743051</v>
      </c>
      <c r="S17" s="69" t="n">
        <f aca="false">Subscriptions!S109</f>
        <v>865.064322307109</v>
      </c>
      <c r="T17" s="69" t="n">
        <f aca="false">Subscriptions!T109</f>
        <v>872.686302339239</v>
      </c>
      <c r="U17" s="69" t="n">
        <f aca="false">Subscriptions!U109</f>
        <v>880.222290405998</v>
      </c>
      <c r="V17" s="69" t="n">
        <f aca="false">Subscriptions!V109</f>
        <v>886.063115234064</v>
      </c>
      <c r="W17" s="69" t="n">
        <f aca="false">Subscriptions!W109</f>
        <v>888.828514850782</v>
      </c>
      <c r="X17" s="69" t="n">
        <f aca="false">Subscriptions!X109</f>
        <v>886.519392001976</v>
      </c>
      <c r="Y17" s="69" t="n">
        <f aca="false">Subscriptions!Y109</f>
        <v>896.545934966416</v>
      </c>
      <c r="Z17" s="69" t="n">
        <f aca="false">Subscriptions!Z109</f>
        <v>907.48695158739</v>
      </c>
      <c r="AA17" s="69" t="n">
        <f aca="false">Subscriptions!AA109</f>
        <v>915.029221870919</v>
      </c>
      <c r="AB17" s="69" t="n">
        <f aca="false">Subscriptions!AB109</f>
        <v>917.118673747424</v>
      </c>
    </row>
    <row r="18" customFormat="false" ht="15" hidden="false" customHeight="false" outlineLevel="0" collapsed="false">
      <c r="A18" s="28" t="s">
        <v>739</v>
      </c>
      <c r="B18" s="63"/>
      <c r="C18" s="68" t="n">
        <f aca="false">SUM(E18:P18)</f>
        <v>361.126</v>
      </c>
      <c r="D18" s="68" t="n">
        <f aca="false">SUM(Q18:AB18)</f>
        <v>360</v>
      </c>
      <c r="E18" s="69" t="n">
        <f aca="false">Subscriptions!E119</f>
        <v>31</v>
      </c>
      <c r="F18" s="69" t="n">
        <f aca="false">Subscriptions!F119</f>
        <v>35</v>
      </c>
      <c r="G18" s="69" t="n">
        <f aca="false">Subscriptions!G119</f>
        <v>35</v>
      </c>
      <c r="H18" s="69" t="n">
        <f aca="false">Subscriptions!H119</f>
        <v>29</v>
      </c>
      <c r="I18" s="69" t="n">
        <f aca="false">Subscriptions!I119</f>
        <v>21</v>
      </c>
      <c r="J18" s="69" t="n">
        <f aca="false">Subscriptions!J119</f>
        <v>32</v>
      </c>
      <c r="K18" s="69" t="n">
        <f aca="false">Subscriptions!K119</f>
        <v>34</v>
      </c>
      <c r="L18" s="69" t="n">
        <f aca="false">Subscriptions!L119</f>
        <v>21</v>
      </c>
      <c r="M18" s="69" t="n">
        <f aca="false">Subscriptions!M119</f>
        <v>32.673</v>
      </c>
      <c r="N18" s="69" t="n">
        <f aca="false">Subscriptions!N119</f>
        <v>33.882</v>
      </c>
      <c r="O18" s="69" t="n">
        <f aca="false">Subscriptions!O119</f>
        <v>30.858</v>
      </c>
      <c r="P18" s="69" t="n">
        <f aca="false">Subscriptions!P119</f>
        <v>25.713</v>
      </c>
      <c r="Q18" s="69" t="n">
        <f aca="false">Subscriptions!Q119</f>
        <v>36.909</v>
      </c>
      <c r="R18" s="69" t="n">
        <f aca="false">Subscriptions!R119</f>
        <v>32.673</v>
      </c>
      <c r="S18" s="69" t="n">
        <f aca="false">Subscriptions!S119</f>
        <v>31.764</v>
      </c>
      <c r="T18" s="69" t="n">
        <f aca="false">Subscriptions!T119</f>
        <v>30.252</v>
      </c>
      <c r="U18" s="69" t="n">
        <f aca="false">Subscriptions!U119</f>
        <v>30.252</v>
      </c>
      <c r="V18" s="69" t="n">
        <f aca="false">Subscriptions!V119</f>
        <v>28.74</v>
      </c>
      <c r="W18" s="69" t="n">
        <f aca="false">Subscriptions!W119</f>
        <v>25.713</v>
      </c>
      <c r="X18" s="69" t="n">
        <f aca="false">Subscriptions!X119</f>
        <v>20.571</v>
      </c>
      <c r="Y18" s="69" t="n">
        <f aca="false">Subscriptions!Y119</f>
        <v>32.673</v>
      </c>
      <c r="Z18" s="69" t="n">
        <f aca="false">Subscriptions!Z119</f>
        <v>33.882</v>
      </c>
      <c r="AA18" s="69" t="n">
        <f aca="false">Subscriptions!AA119</f>
        <v>30.858</v>
      </c>
      <c r="AB18" s="69" t="n">
        <f aca="false">Subscriptions!AB119</f>
        <v>25.713</v>
      </c>
    </row>
    <row r="19" customFormat="false" ht="15" hidden="false" customHeight="false" outlineLevel="0" collapsed="false">
      <c r="A19" s="28" t="s">
        <v>740</v>
      </c>
      <c r="B19" s="63"/>
      <c r="C19" s="68" t="n">
        <f aca="false">SUM(E19:P19)</f>
        <v>-259.319245734202</v>
      </c>
      <c r="D19" s="68" t="n">
        <f aca="false">SUM(Q19:AB19)</f>
        <v>-272.688080518374</v>
      </c>
      <c r="E19" s="69" t="n">
        <f aca="false">Subscriptions!E120</f>
        <v>-21</v>
      </c>
      <c r="F19" s="69" t="n">
        <f aca="false">Subscriptions!F120</f>
        <v>-25</v>
      </c>
      <c r="G19" s="69" t="n">
        <f aca="false">Subscriptions!G120</f>
        <v>-16</v>
      </c>
      <c r="H19" s="69" t="n">
        <f aca="false">Subscriptions!H120</f>
        <v>-21</v>
      </c>
      <c r="I19" s="69" t="n">
        <f aca="false">Subscriptions!I120</f>
        <v>-23</v>
      </c>
      <c r="J19" s="69" t="n">
        <f aca="false">Subscriptions!J120</f>
        <v>-32</v>
      </c>
      <c r="K19" s="69" t="n">
        <f aca="false">Subscriptions!K120</f>
        <v>-12</v>
      </c>
      <c r="L19" s="69" t="n">
        <f aca="false">Subscriptions!L120</f>
        <v>-25</v>
      </c>
      <c r="M19" s="69" t="n">
        <f aca="false">Subscriptions!M120</f>
        <v>-20.441</v>
      </c>
      <c r="N19" s="69" t="n">
        <f aca="false">Subscriptions!N120</f>
        <v>-20.924098</v>
      </c>
      <c r="O19" s="69" t="n">
        <f aca="false">Subscriptions!O120</f>
        <v>-21.27508038</v>
      </c>
      <c r="P19" s="69" t="n">
        <f aca="false">Subscriptions!P120</f>
        <v>-21.679067354202</v>
      </c>
      <c r="Q19" s="69" t="n">
        <f aca="false">Subscriptions!Q120</f>
        <v>-21.6480668149491</v>
      </c>
      <c r="R19" s="69" t="n">
        <f aca="false">Subscriptions!R120</f>
        <v>-22.0873167077981</v>
      </c>
      <c r="S19" s="69" t="n">
        <f aca="false">Subscriptions!S120</f>
        <v>-22.3530484359414</v>
      </c>
      <c r="T19" s="69" t="n">
        <f aca="false">Subscriptions!T120</f>
        <v>-22.6300199678698</v>
      </c>
      <c r="U19" s="69" t="n">
        <f aca="false">Subscriptions!U120</f>
        <v>-22.7160119332411</v>
      </c>
      <c r="V19" s="69" t="n">
        <f aca="false">Subscriptions!V120</f>
        <v>-22.8991751719348</v>
      </c>
      <c r="W19" s="69" t="n">
        <f aca="false">Subscriptions!W120</f>
        <v>-22.9476003832813</v>
      </c>
      <c r="X19" s="69" t="n">
        <f aca="false">Subscriptions!X120</f>
        <v>-22.8801228488059</v>
      </c>
      <c r="Y19" s="69" t="n">
        <f aca="false">Subscriptions!Y120</f>
        <v>-22.6464570355602</v>
      </c>
      <c r="Z19" s="69" t="n">
        <f aca="false">Subscriptions!Z120</f>
        <v>-22.9409833790264</v>
      </c>
      <c r="AA19" s="69" t="n">
        <f aca="false">Subscriptions!AA120</f>
        <v>-23.3157297164705</v>
      </c>
      <c r="AB19" s="69" t="n">
        <f aca="false">Subscriptions!AB120</f>
        <v>-23.6235481234951</v>
      </c>
    </row>
    <row r="20" customFormat="false" ht="15" hidden="false" customHeight="false" outlineLevel="0" collapsed="false">
      <c r="A20" s="28" t="s">
        <v>341</v>
      </c>
      <c r="B20" s="63"/>
      <c r="C20" s="64" t="n">
        <f aca="false">P20</f>
        <v>248.998659313386</v>
      </c>
      <c r="D20" s="64" t="n">
        <f aca="false">AB20</f>
        <v>273.811897943611</v>
      </c>
      <c r="E20" s="74" t="n">
        <f aca="false">IF(E17=0,0,E15/E17)</f>
        <v>237.097886178862</v>
      </c>
      <c r="F20" s="74" t="n">
        <f aca="false">IF(F17=0,0,F15/F17)</f>
        <v>237.694104278075</v>
      </c>
      <c r="G20" s="74" t="n">
        <f aca="false">IF(G17=0,0,G15/G17)</f>
        <v>237.864146023468</v>
      </c>
      <c r="H20" s="74" t="n">
        <f aca="false">IF(H17=0,0,H15/H17)</f>
        <v>239.053367741936</v>
      </c>
      <c r="I20" s="74" t="n">
        <f aca="false">IF(I17=0,0,I15/I17)</f>
        <v>241.487800776197</v>
      </c>
      <c r="J20" s="74" t="n">
        <f aca="false">IF(J17=0,0,J15/J17)</f>
        <v>243.222082794308</v>
      </c>
      <c r="K20" s="74" t="n">
        <f aca="false">IF(K17=0,0,K15/K17)</f>
        <v>242.883119496855</v>
      </c>
      <c r="L20" s="74" t="n">
        <f aca="false">IF(L17=0,0,L15/L17)</f>
        <v>244.997724399494</v>
      </c>
      <c r="M20" s="74" t="n">
        <f aca="false">IF(M17=0,0,M15/M17)</f>
        <v>245.894762646409</v>
      </c>
      <c r="N20" s="74" t="n">
        <f aca="false">IF(N17=0,0,N15/N17)</f>
        <v>246.744025092463</v>
      </c>
      <c r="O20" s="74" t="n">
        <f aca="false">IF(O17=0,0,O15/O17)</f>
        <v>247.740207778813</v>
      </c>
      <c r="P20" s="74" t="n">
        <f aca="false">IF(P17=0,0,P15/P17)</f>
        <v>248.998659313386</v>
      </c>
      <c r="Q20" s="74" t="n">
        <f aca="false">IF(Q17=0,0,Q15/Q17)</f>
        <v>262.143694180621</v>
      </c>
      <c r="R20" s="74" t="n">
        <f aca="false">IF(R17=0,0,R15/R17)</f>
        <v>263.082117945885</v>
      </c>
      <c r="S20" s="74" t="n">
        <f aca="false">IF(S17=0,0,S15/S17)</f>
        <v>264.068049864564</v>
      </c>
      <c r="T20" s="74" t="n">
        <f aca="false">IF(T17=0,0,T15/T17)</f>
        <v>265.134044198137</v>
      </c>
      <c r="U20" s="74" t="n">
        <f aca="false">IF(U17=0,0,U15/U17)</f>
        <v>266.181334351237</v>
      </c>
      <c r="V20" s="74" t="n">
        <f aca="false">IF(V17=0,0,V15/V17)</f>
        <v>267.305877234167</v>
      </c>
      <c r="W20" s="74" t="n">
        <f aca="false">IF(W17=0,0,W15/W17)</f>
        <v>268.58535700889</v>
      </c>
      <c r="X20" s="74" t="n">
        <f aca="false">IF(X17=0,0,X15/X17)</f>
        <v>270.139666102871</v>
      </c>
      <c r="Y20" s="74" t="n">
        <f aca="false">IF(Y17=0,0,Y15/Y17)</f>
        <v>270.924770491437</v>
      </c>
      <c r="Z20" s="74" t="n">
        <f aca="false">IF(Z17=0,0,Z15/Z17)</f>
        <v>271.646708502363</v>
      </c>
      <c r="AA20" s="74" t="n">
        <f aca="false">IF(AA17=0,0,AA15/AA17)</f>
        <v>272.568159639165</v>
      </c>
      <c r="AB20" s="74" t="n">
        <f aca="false">IF(AB17=0,0,AB15/AB17)</f>
        <v>273.811897943611</v>
      </c>
    </row>
    <row r="21" customFormat="false" ht="15" hidden="false" customHeight="false" outlineLevel="0" collapsed="false">
      <c r="A21" s="28" t="s">
        <v>9</v>
      </c>
      <c r="B21" s="63" t="s">
        <v>741</v>
      </c>
      <c r="C21" s="66" t="n">
        <f aca="false">P21</f>
        <v>0.809584609154602</v>
      </c>
      <c r="D21" s="66" t="n">
        <f aca="false">AB21</f>
        <v>0.836663251631589</v>
      </c>
      <c r="E21" s="67" t="n">
        <f aca="false">IF(History!$C$13=0,0,(History!$C$13+SUM(ARR_Bridge!E11:E11)+SUM(History!$D$9:$N$9)+SUM(ARR_Bridge!E12:E12)+SUM(History!$D$10:$N$10)+SUM(ARR_Bridge!E13:E13)+SUM(History!$D$11:$N$11)+SUM(ARR_Bridge!E14:E14)+SUM(History!$D$12:$N$12))/History!$C$13)</f>
        <v>0.874811017618471</v>
      </c>
      <c r="F21" s="67" t="n">
        <f aca="false">IF(History!$D$13=0,0,(History!$D$13+SUM(ARR_Bridge!E11:F11)+SUM(History!$E$9:$N$9)+SUM(ARR_Bridge!E12:F12)+SUM(History!$E$10:$N$10)+SUM(ARR_Bridge!E13:F13)+SUM(History!$E$11:$N$11)+SUM(ARR_Bridge!E14:F14)+SUM(History!$E$12:$N$12))/History!$D$13)</f>
        <v>0.863370866105576</v>
      </c>
      <c r="G21" s="67" t="n">
        <f aca="false">IF(History!$E$13=0,0,(History!$E$13+SUM(ARR_Bridge!E11:G11)+SUM(History!$F$9:$N$9)+SUM(ARR_Bridge!E12:G12)+SUM(History!$F$10:$N$10)+SUM(ARR_Bridge!E13:G13)+SUM(History!$F$11:$N$11)+SUM(ARR_Bridge!E14:G14)+SUM(History!$F$12:$N$12))/History!$E$13)</f>
        <v>0.857269458998617</v>
      </c>
      <c r="H21" s="67" t="n">
        <f aca="false">IF(History!$F$13=0,0,(History!$F$13+SUM(ARR_Bridge!E11:H11)+SUM(History!$G$9:$N$9)+SUM(ARR_Bridge!E12:H12)+SUM(History!$G$10:$N$10)+SUM(ARR_Bridge!E13:H13)+SUM(History!$G$11:$N$11)+SUM(ARR_Bridge!E14:H14)+SUM(History!$G$12:$N$12))/History!$F$13)</f>
        <v>0.849977384804855</v>
      </c>
      <c r="I21" s="67" t="n">
        <f aca="false">IF(History!$G$13=0,0,(History!$G$13+SUM(ARR_Bridge!E11:I11)+SUM(History!$H$9:$N$9)+SUM(ARR_Bridge!E12:I12)+SUM(History!$H$10:$N$10)+SUM(ARR_Bridge!E13:I13)+SUM(History!$H$11:$N$11)+SUM(ARR_Bridge!E14:I14)+SUM(History!$H$12:$N$12))/History!$G$13)</f>
        <v>0.845431934665797</v>
      </c>
      <c r="J21" s="67" t="n">
        <f aca="false">IF(History!$H$13=0,0,(History!$H$13+SUM(ARR_Bridge!E11:J11)+SUM(History!$I$9:$N$9)+SUM(ARR_Bridge!E12:J12)+SUM(History!$I$10:$N$10)+SUM(ARR_Bridge!E13:J13)+SUM(History!$I$11:$N$11)+SUM(ARR_Bridge!E14:J14)+SUM(History!$I$12:$N$12))/History!$H$13)</f>
        <v>0.825823961047913</v>
      </c>
      <c r="K21" s="67" t="n">
        <f aca="false">IF(History!$I$13=0,0,(History!$I$13+SUM(ARR_Bridge!E11:K11)+SUM(History!$J$9:$N$9)+SUM(ARR_Bridge!E12:K12)+SUM(History!$J$10:$N$10)+SUM(ARR_Bridge!E13:K13)+SUM(History!$J$11:$N$11)+SUM(ARR_Bridge!E14:K14)+SUM(History!$J$12:$N$12))/History!$I$13)</f>
        <v>0.834658570231845</v>
      </c>
      <c r="L21" s="67" t="n">
        <f aca="false">IF(History!$J$13=0,0,(History!$J$13+SUM(ARR_Bridge!E11:L11)+SUM(History!$K$9:$N$9)+SUM(ARR_Bridge!E12:L12)+SUM(History!$K$10:$N$10)+SUM(ARR_Bridge!E13:L13)+SUM(History!$K$11:$N$11)+SUM(ARR_Bridge!E14:L14)+SUM(History!$K$12:$N$12))/History!$J$13)</f>
        <v>0.829892738590793</v>
      </c>
      <c r="M21" s="67" t="n">
        <f aca="false">IF(History!$K$13=0,0,(History!$K$13+SUM(ARR_Bridge!E11:M11)+SUM(History!$L$9:$N$9)+SUM(ARR_Bridge!E12:M12)+SUM(History!$L$10:$N$10)+SUM(ARR_Bridge!E13:M13)+SUM(History!$L$11:$N$11)+SUM(ARR_Bridge!E14:M14)+SUM(History!$L$12:$N$12))/History!$K$13)</f>
        <v>0.820494615568648</v>
      </c>
      <c r="N21" s="67" t="n">
        <f aca="false">IF(History!$L$13=0,0,(History!$L$13+SUM(ARR_Bridge!E11:N11)+SUM(History!$M$9:$N$9)+SUM(ARR_Bridge!E12:N12)+SUM(History!$M$10:$N$10)+SUM(ARR_Bridge!E13:N13)+SUM(History!$M$11:$N$11)+SUM(ARR_Bridge!E14:N14)+SUM(History!$M$12:$N$12))/History!$L$13)</f>
        <v>0.822364233968076</v>
      </c>
      <c r="O21" s="67" t="n">
        <f aca="false">IF(History!$M$13=0,0,(History!$M$13+SUM(ARR_Bridge!E11:O11)+SUM(History!$N$9:$N$9)+SUM(ARR_Bridge!E12:O12)+SUM(History!$N$10:$N$10)+SUM(ARR_Bridge!E13:O13)+SUM(History!$N$11:$N$11)+SUM(ARR_Bridge!E14:O14)+SUM(History!$N$12:$N$12))/History!$M$13)</f>
        <v>0.815730872543191</v>
      </c>
      <c r="P21" s="67" t="n">
        <f aca="false">IF(History!$N$13=0,0,(History!$N$13+SUM(ARR_Bridge!E11:P11)+SUM(ARR_Bridge!E12:P12)+SUM(ARR_Bridge!E13:P13)+SUM(ARR_Bridge!E14:P14))/History!$N$13)</f>
        <v>0.809584609154602</v>
      </c>
      <c r="Q21" s="67" t="n">
        <f aca="false">IF(E15=0,0,(E15+SUM(ARR_Bridge!F11:Q11)+SUM(ARR_Bridge!F12:Q12)+SUM(ARR_Bridge!F13:Q13)+SUM(ARR_Bridge!F14:Q14))/E15)</f>
        <v>0.834404793824876</v>
      </c>
      <c r="R21" s="67" t="n">
        <f aca="false">IF(F15=0,0,(F15+SUM(ARR_Bridge!G11:R11)+SUM(ARR_Bridge!G12:R12)+SUM(ARR_Bridge!G13:R13)+SUM(ARR_Bridge!G14:R14))/F15)</f>
        <v>0.840987550352835</v>
      </c>
      <c r="S21" s="67" t="n">
        <f aca="false">IF(G15=0,0,(G15+SUM(ARR_Bridge!H11:S11)+SUM(ARR_Bridge!H12:S12)+SUM(ARR_Bridge!H13:S13)+SUM(ARR_Bridge!H14:S14))/G15)</f>
        <v>0.838002055992921</v>
      </c>
      <c r="T21" s="67" t="n">
        <f aca="false">IF(H15=0,0,(H15+SUM(ARR_Bridge!I11:T11)+SUM(ARR_Bridge!I12:T12)+SUM(ARR_Bridge!I13:T13)+SUM(ARR_Bridge!I14:T14))/H15)</f>
        <v>0.836991029324054</v>
      </c>
      <c r="U21" s="67" t="n">
        <f aca="false">IF(I15=0,0,(I15+SUM(ARR_Bridge!J11:U11)+SUM(ARR_Bridge!J12:U12)+SUM(ARR_Bridge!J13:U13)+SUM(ARR_Bridge!J14:U14))/I15)</f>
        <v>0.835221437941128</v>
      </c>
      <c r="V21" s="67" t="n">
        <f aca="false">IF(J15=0,0,(J15+SUM(ARR_Bridge!K11:V11)+SUM(ARR_Bridge!K12:V12)+SUM(ARR_Bridge!K13:V13)+SUM(ARR_Bridge!K14:V14))/J15)</f>
        <v>0.844942841821052</v>
      </c>
      <c r="W21" s="67" t="n">
        <f aca="false">IF(K15=0,0,(K15+SUM(ARR_Bridge!L11:W11)+SUM(ARR_Bridge!L12:W12)+SUM(ARR_Bridge!L13:W13)+SUM(ARR_Bridge!L14:W14))/K15)</f>
        <v>0.838079660910373</v>
      </c>
      <c r="X21" s="67" t="n">
        <f aca="false">IF(L15=0,0,(L15+SUM(ARR_Bridge!M11:X11)+SUM(ARR_Bridge!M12:X12)+SUM(ARR_Bridge!M13:X13)+SUM(ARR_Bridge!M14:X14))/L15)</f>
        <v>0.838586733946982</v>
      </c>
      <c r="Y21" s="67" t="n">
        <f aca="false">IF(M15=0,0,(M15+SUM(ARR_Bridge!N11:Y11)+SUM(ARR_Bridge!N12:Y12)+SUM(ARR_Bridge!N13:Y13)+SUM(ARR_Bridge!N14:Y14))/M15)</f>
        <v>0.838368871592641</v>
      </c>
      <c r="Z21" s="67" t="n">
        <f aca="false">IF(N15=0,0,(N15+SUM(ARR_Bridge!O11:Z11)+SUM(ARR_Bridge!O12:Z12)+SUM(ARR_Bridge!O13:Z13)+SUM(ARR_Bridge!O14:Z14))/N15)</f>
        <v>0.838449618329155</v>
      </c>
      <c r="AA21" s="67" t="n">
        <f aca="false">IF(O15=0,0,(O15+SUM(ARR_Bridge!P11:AA11)+SUM(ARR_Bridge!P12:AA12)+SUM(ARR_Bridge!P13:AA13)+SUM(ARR_Bridge!P14:AA14))/O15)</f>
        <v>0.837962485009949</v>
      </c>
      <c r="AB21" s="67" t="n">
        <f aca="false">IF(P15=0,0,(P15+SUM(ARR_Bridge!Q11:AB11)+SUM(ARR_Bridge!Q12:AB12)+SUM(ARR_Bridge!Q13:AB13)+SUM(ARR_Bridge!Q14:AB14))/P15)</f>
        <v>0.836663251631589</v>
      </c>
    </row>
    <row r="22" customFormat="false" ht="15" hidden="false" customHeight="false" outlineLevel="0" collapsed="false">
      <c r="A22" s="28" t="s">
        <v>342</v>
      </c>
      <c r="B22" s="63" t="s">
        <v>741</v>
      </c>
      <c r="C22" s="66" t="n">
        <f aca="false">P22</f>
        <v>0.618881484746864</v>
      </c>
      <c r="D22" s="66" t="n">
        <f aca="false">AB22</f>
        <v>0.645103930698871</v>
      </c>
      <c r="E22" s="67" t="n">
        <f aca="false">IF(History!$C$13=0,0,(History!$C$13+SUM(ARR_Bridge!E13:E13)+SUM(History!$D$11:$N$11)+SUM(ARR_Bridge!E14:E14)+SUM(History!$D$12:$N$12))/History!$C$13)</f>
        <v>0.669491485928153</v>
      </c>
      <c r="F22" s="67" t="n">
        <f aca="false">IF(History!$D$13=0,0,(History!$D$13+SUM(ARR_Bridge!E13:F13)+SUM(History!$E$11:$N$11)+SUM(ARR_Bridge!E14:F14)+SUM(History!$E$12:$N$12))/History!$D$13)</f>
        <v>0.66824614977648</v>
      </c>
      <c r="G22" s="67" t="n">
        <f aca="false">IF(History!$E$13=0,0,(History!$E$13+SUM(ARR_Bridge!E13:G13)+SUM(History!$F$11:$N$11)+SUM(ARR_Bridge!E14:G14)+SUM(History!$F$12:$N$12))/History!$E$13)</f>
        <v>0.662607897668098</v>
      </c>
      <c r="H22" s="67" t="n">
        <f aca="false">IF(History!$F$13=0,0,(History!$F$13+SUM(ARR_Bridge!E13:H13)+SUM(History!$G$11:$N$11)+SUM(ARR_Bridge!E14:H14)+SUM(History!$G$12:$N$12))/History!$F$13)</f>
        <v>0.655050211609115</v>
      </c>
      <c r="I22" s="67" t="n">
        <f aca="false">IF(History!$G$13=0,0,(History!$G$13+SUM(ARR_Bridge!E13:I13)+SUM(History!$H$11:$N$11)+SUM(ARR_Bridge!E14:I14)+SUM(History!$H$12:$N$12))/History!$G$13)</f>
        <v>0.649763204124384</v>
      </c>
      <c r="J22" s="67" t="n">
        <f aca="false">IF(History!$H$13=0,0,(History!$H$13+SUM(ARR_Bridge!E13:J13)+SUM(History!$I$11:$N$11)+SUM(ARR_Bridge!E14:J14)+SUM(History!$I$12:$N$12))/History!$H$13)</f>
        <v>0.633410884649524</v>
      </c>
      <c r="K22" s="67" t="n">
        <f aca="false">IF(History!$I$13=0,0,(History!$I$13+SUM(ARR_Bridge!E13:K13)+SUM(History!$J$11:$N$11)+SUM(ARR_Bridge!E14:K14)+SUM(History!$J$12:$N$12))/History!$I$13)</f>
        <v>0.645144168079402</v>
      </c>
      <c r="L22" s="67" t="n">
        <f aca="false">IF(History!$J$13=0,0,(History!$J$13+SUM(ARR_Bridge!E13:L13)+SUM(History!$K$11:$N$11)+SUM(ARR_Bridge!E14:L14)+SUM(History!$K$12:$N$12))/History!$J$13)</f>
        <v>0.63791721363428</v>
      </c>
      <c r="M22" s="67" t="n">
        <f aca="false">IF(History!$K$13=0,0,(History!$K$13+SUM(ARR_Bridge!E13:M13)+SUM(History!$L$11:$N$11)+SUM(ARR_Bridge!E14:M14)+SUM(History!$L$12:$N$12))/History!$K$13)</f>
        <v>0.627234232151558</v>
      </c>
      <c r="N22" s="67" t="n">
        <f aca="false">IF(History!$L$13=0,0,(History!$L$13+SUM(ARR_Bridge!E13:N13)+SUM(History!$M$11:$N$11)+SUM(ARR_Bridge!E14:N14)+SUM(History!$M$12:$N$12))/History!$L$13)</f>
        <v>0.629682979593064</v>
      </c>
      <c r="O22" s="67" t="n">
        <f aca="false">IF(History!$M$13=0,0,(History!$M$13+SUM(ARR_Bridge!E13:O13)+SUM(History!$N$11:$N$11)+SUM(ARR_Bridge!E14:O14)+SUM(History!$N$12:$N$12))/History!$M$13)</f>
        <v>0.624912429005881</v>
      </c>
      <c r="P22" s="67" t="n">
        <f aca="false">IF(History!$N$13=0,0,(History!$N$13+SUM(ARR_Bridge!E13:P13)+SUM(ARR_Bridge!E14:P14))/History!$N$13)</f>
        <v>0.618881484746864</v>
      </c>
      <c r="Q22" s="67" t="n">
        <f aca="false">IF(E15=0,0,(E15+SUM(ARR_Bridge!F13:Q13)+SUM(ARR_Bridge!F14:Q14))/E15)</f>
        <v>0.640401860817664</v>
      </c>
      <c r="R22" s="67" t="n">
        <f aca="false">IF(F15=0,0,(F15+SUM(ARR_Bridge!G13:R13)+SUM(ARR_Bridge!G14:R14))/F15)</f>
        <v>0.64674951720154</v>
      </c>
      <c r="S22" s="67" t="n">
        <f aca="false">IF(G15=0,0,(G15+SUM(ARR_Bridge!H13:S13)+SUM(ARR_Bridge!H14:S14))/G15)</f>
        <v>0.645614606571307</v>
      </c>
      <c r="T22" s="67" t="n">
        <f aca="false">IF(H15=0,0,(H15+SUM(ARR_Bridge!I13:T13)+SUM(ARR_Bridge!I14:T14))/H15)</f>
        <v>0.645193290219241</v>
      </c>
      <c r="U22" s="67" t="n">
        <f aca="false">IF(I15=0,0,(I15+SUM(ARR_Bridge!J13:U13)+SUM(ARR_Bridge!J14:U14))/I15)</f>
        <v>0.642705803854414</v>
      </c>
      <c r="V22" s="67" t="n">
        <f aca="false">IF(J15=0,0,(J15+SUM(ARR_Bridge!K13:V13)+SUM(ARR_Bridge!K14:V14))/J15)</f>
        <v>0.650985638749471</v>
      </c>
      <c r="W22" s="67" t="n">
        <f aca="false">IF(K15=0,0,(K15+SUM(ARR_Bridge!L13:W13)+SUM(ARR_Bridge!L14:W14))/K15)</f>
        <v>0.64541651582959</v>
      </c>
      <c r="X22" s="67" t="n">
        <f aca="false">IF(L15=0,0,(L15+SUM(ARR_Bridge!M13:X13)+SUM(ARR_Bridge!M14:X14))/L15)</f>
        <v>0.644156362681172</v>
      </c>
      <c r="Y22" s="67" t="n">
        <f aca="false">IF(M15=0,0,(M15+SUM(ARR_Bridge!N13:Y13)+SUM(ARR_Bridge!N14:Y14))/M15)</f>
        <v>0.645168866205146</v>
      </c>
      <c r="Z22" s="67" t="n">
        <f aca="false">IF(N15=0,0,(N15+SUM(ARR_Bridge!O13:Z13)+SUM(ARR_Bridge!O14:Z14))/N15)</f>
        <v>0.646604969281458</v>
      </c>
      <c r="AA22" s="67" t="n">
        <f aca="false">IF(O15=0,0,(O15+SUM(ARR_Bridge!P13:AA13)+SUM(ARR_Bridge!P14:AA14))/O15)</f>
        <v>0.646790520558951</v>
      </c>
      <c r="AB22" s="67" t="n">
        <f aca="false">IF(P15=0,0,(P15+SUM(ARR_Bridge!Q13:AB13)+SUM(ARR_Bridge!Q14:AB14))/P15)</f>
        <v>0.645103930698871</v>
      </c>
    </row>
    <row r="23" customFormat="false" ht="15" hidden="false" customHeight="false" outlineLevel="0" collapsed="false">
      <c r="A23" s="22" t="s">
        <v>742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731</v>
      </c>
      <c r="B24" s="63"/>
      <c r="E24" s="65" t="n">
        <f aca="false">Subscriptions!E247</f>
        <v>154799.57</v>
      </c>
      <c r="F24" s="65" t="n">
        <f aca="false">Subscriptions!F247</f>
        <v>161537.76</v>
      </c>
      <c r="G24" s="65" t="n">
        <f aca="false">Subscriptions!G247</f>
        <v>164221.87</v>
      </c>
      <c r="H24" s="65" t="n">
        <f aca="false">Subscriptions!H247</f>
        <v>168175.09</v>
      </c>
      <c r="I24" s="65" t="n">
        <f aca="false">Subscriptions!I247</f>
        <v>173607.3</v>
      </c>
      <c r="J24" s="65" t="n">
        <f aca="false">Subscriptions!J247</f>
        <v>174737.86</v>
      </c>
      <c r="K24" s="65" t="n">
        <f aca="false">Subscriptions!K247</f>
        <v>179786.18</v>
      </c>
      <c r="L24" s="65" t="n">
        <f aca="false">Subscriptions!L247</f>
        <v>183863.96</v>
      </c>
      <c r="M24" s="65" t="n">
        <f aca="false">Subscriptions!M247</f>
        <v>187368.91</v>
      </c>
      <c r="N24" s="65" t="n">
        <f aca="false">Subscriptions!N247</f>
        <v>192436.78119128</v>
      </c>
      <c r="O24" s="65" t="n">
        <f aca="false">Subscriptions!O247</f>
        <v>197733.437557769</v>
      </c>
      <c r="P24" s="65" t="n">
        <f aca="false">Subscriptions!P247</f>
        <v>202185.41245898</v>
      </c>
      <c r="Q24" s="65" t="n">
        <f aca="false">Subscriptions!Q247</f>
        <v>206169.015987616</v>
      </c>
      <c r="R24" s="65" t="n">
        <f aca="false">Subscriptions!R247</f>
        <v>210929.915137777</v>
      </c>
      <c r="S24" s="65" t="n">
        <f aca="false">Subscriptions!S247</f>
        <v>215919.185320842</v>
      </c>
      <c r="T24" s="65" t="n">
        <f aca="false">Subscriptions!T247</f>
        <v>220398.149792098</v>
      </c>
      <c r="U24" s="65" t="n">
        <f aca="false">Subscriptions!U247</f>
        <v>224921.647227816</v>
      </c>
      <c r="V24" s="65" t="n">
        <f aca="false">Subscriptions!V247</f>
        <v>229684.216038077</v>
      </c>
      <c r="W24" s="65" t="n">
        <f aca="false">Subscriptions!W247</f>
        <v>234194.714753691</v>
      </c>
      <c r="X24" s="65" t="n">
        <f aca="false">Subscriptions!X247</f>
        <v>238178.354248375</v>
      </c>
      <c r="Y24" s="65" t="n">
        <f aca="false">Subscriptions!Y247</f>
        <v>241582.221397932</v>
      </c>
      <c r="Z24" s="65" t="n">
        <f aca="false">Subscriptions!Z247</f>
        <v>246633.176101812</v>
      </c>
      <c r="AA24" s="65" t="n">
        <f aca="false">Subscriptions!AA247</f>
        <v>251903.4488387</v>
      </c>
      <c r="AB24" s="65" t="n">
        <f aca="false">Subscriptions!AB247</f>
        <v>256795.226601984</v>
      </c>
    </row>
    <row r="25" customFormat="false" ht="15" hidden="false" customHeight="false" outlineLevel="0" collapsed="false">
      <c r="A25" s="28" t="s">
        <v>732</v>
      </c>
      <c r="B25" s="63" t="s">
        <v>54</v>
      </c>
      <c r="C25" s="64" t="n">
        <f aca="false">SUM(E25:P25)</f>
        <v>56367.6673</v>
      </c>
      <c r="D25" s="64" t="n">
        <f aca="false">SUM(Q25:AB25)</f>
        <v>49851.9</v>
      </c>
      <c r="E25" s="65" t="n">
        <f aca="false">Subscriptions!E248</f>
        <v>8477.35</v>
      </c>
      <c r="F25" s="65" t="n">
        <f aca="false">Subscriptions!F248</f>
        <v>4061.87</v>
      </c>
      <c r="G25" s="65" t="n">
        <f aca="false">Subscriptions!G248</f>
        <v>7032.4</v>
      </c>
      <c r="H25" s="65" t="n">
        <f aca="false">Subscriptions!H248</f>
        <v>4612.09</v>
      </c>
      <c r="I25" s="65" t="n">
        <f aca="false">Subscriptions!I248</f>
        <v>2930.04</v>
      </c>
      <c r="J25" s="65" t="n">
        <f aca="false">Subscriptions!J248</f>
        <v>4143.41</v>
      </c>
      <c r="K25" s="65" t="n">
        <f aca="false">Subscriptions!K248</f>
        <v>4130.81</v>
      </c>
      <c r="L25" s="65" t="n">
        <f aca="false">Subscriptions!L248</f>
        <v>4741.43</v>
      </c>
      <c r="M25" s="65" t="n">
        <f aca="false">Subscriptions!M248</f>
        <v>4309.02415</v>
      </c>
      <c r="N25" s="65" t="n">
        <f aca="false">Subscriptions!N248</f>
        <v>4468.4711</v>
      </c>
      <c r="O25" s="65" t="n">
        <f aca="false">Subscriptions!O248</f>
        <v>4069.6559</v>
      </c>
      <c r="P25" s="65" t="n">
        <f aca="false">Subscriptions!P248</f>
        <v>3391.11615</v>
      </c>
      <c r="Q25" s="65" t="n">
        <f aca="false">Subscriptions!Q248</f>
        <v>5111.0660475</v>
      </c>
      <c r="R25" s="65" t="n">
        <f aca="false">Subscriptions!R248</f>
        <v>4524.4753575</v>
      </c>
      <c r="S25" s="65" t="n">
        <f aca="false">Subscriptions!S248</f>
        <v>4398.59931</v>
      </c>
      <c r="T25" s="65" t="n">
        <f aca="false">Subscriptions!T248</f>
        <v>4189.22133</v>
      </c>
      <c r="U25" s="65" t="n">
        <f aca="false">Subscriptions!U248</f>
        <v>4189.22133</v>
      </c>
      <c r="V25" s="65" t="n">
        <f aca="false">Subscriptions!V248</f>
        <v>3979.84335</v>
      </c>
      <c r="W25" s="65" t="n">
        <f aca="false">Subscriptions!W248</f>
        <v>3560.6719575</v>
      </c>
      <c r="X25" s="65" t="n">
        <f aca="false">Subscriptions!X248</f>
        <v>2848.6206525</v>
      </c>
      <c r="Y25" s="65" t="n">
        <f aca="false">Subscriptions!Y248</f>
        <v>4524.4753575</v>
      </c>
      <c r="Z25" s="65" t="n">
        <f aca="false">Subscriptions!Z248</f>
        <v>4691.894655</v>
      </c>
      <c r="AA25" s="65" t="n">
        <f aca="false">Subscriptions!AA248</f>
        <v>4273.138695</v>
      </c>
      <c r="AB25" s="65" t="n">
        <f aca="false">Subscriptions!AB248</f>
        <v>3560.6719575</v>
      </c>
    </row>
    <row r="26" customFormat="false" ht="15" hidden="false" customHeight="false" outlineLevel="0" collapsed="false">
      <c r="A26" s="28" t="s">
        <v>733</v>
      </c>
      <c r="B26" s="63" t="s">
        <v>54</v>
      </c>
      <c r="C26" s="64" t="n">
        <f aca="false">SUM(E26:P26)</f>
        <v>17424.8035077648</v>
      </c>
      <c r="D26" s="64" t="n">
        <f aca="false">SUM(Q26:AB26)</f>
        <v>23283.5000621778</v>
      </c>
      <c r="E26" s="65" t="n">
        <f aca="false">Subscriptions!E250</f>
        <v>1685</v>
      </c>
      <c r="F26" s="65" t="n">
        <f aca="false">Subscriptions!F250</f>
        <v>1249.45</v>
      </c>
      <c r="G26" s="65" t="n">
        <f aca="false">Subscriptions!G250</f>
        <v>1166.7</v>
      </c>
      <c r="H26" s="65" t="n">
        <f aca="false">Subscriptions!H250</f>
        <v>1380.39</v>
      </c>
      <c r="I26" s="65" t="n">
        <f aca="false">Subscriptions!I250</f>
        <v>1356.78</v>
      </c>
      <c r="J26" s="65" t="n">
        <f aca="false">Subscriptions!J250</f>
        <v>1691.85</v>
      </c>
      <c r="K26" s="65" t="n">
        <f aca="false">Subscriptions!K250</f>
        <v>1535.29</v>
      </c>
      <c r="L26" s="65" t="n">
        <f aca="false">Subscriptions!L250</f>
        <v>1292.43</v>
      </c>
      <c r="M26" s="65" t="n">
        <f aca="false">Subscriptions!M250</f>
        <v>1534.14098768</v>
      </c>
      <c r="N26" s="65" t="n">
        <f aca="false">Subscriptions!N250</f>
        <v>1485.15147551571</v>
      </c>
      <c r="O26" s="65" t="n">
        <f aca="false">Subscriptions!O250</f>
        <v>1538.4218959474</v>
      </c>
      <c r="P26" s="65" t="n">
        <f aca="false">Subscriptions!P250</f>
        <v>1509.19914862172</v>
      </c>
      <c r="Q26" s="65" t="n">
        <f aca="false">Subscriptions!Q250</f>
        <v>2262.44008999964</v>
      </c>
      <c r="R26" s="65" t="n">
        <f aca="false">Subscriptions!R250</f>
        <v>1654.85748363283</v>
      </c>
      <c r="S26" s="65" t="n">
        <f aca="false">Subscriptions!S250</f>
        <v>1888.84745777355</v>
      </c>
      <c r="T26" s="65" t="n">
        <f aca="false">Subscriptions!T250</f>
        <v>1953.56008328591</v>
      </c>
      <c r="U26" s="65" t="n">
        <f aca="false">Subscriptions!U250</f>
        <v>1900.91889264281</v>
      </c>
      <c r="V26" s="65" t="n">
        <f aca="false">Subscriptions!V250</f>
        <v>1819.62492538751</v>
      </c>
      <c r="W26" s="65" t="n">
        <f aca="false">Subscriptions!W250</f>
        <v>2098.14486552235</v>
      </c>
      <c r="X26" s="65" t="n">
        <f aca="false">Subscriptions!X250</f>
        <v>1796.58292857848</v>
      </c>
      <c r="Y26" s="65" t="n">
        <f aca="false">Subscriptions!Y250</f>
        <v>1986.54435092031</v>
      </c>
      <c r="Z26" s="65" t="n">
        <f aca="false">Subscriptions!Z250</f>
        <v>1938.93279841541</v>
      </c>
      <c r="AA26" s="65" t="n">
        <f aca="false">Subscriptions!AA250</f>
        <v>2023.76755722975</v>
      </c>
      <c r="AB26" s="65" t="n">
        <f aca="false">Subscriptions!AB250</f>
        <v>1959.27862878923</v>
      </c>
    </row>
    <row r="27" customFormat="false" ht="15" hidden="false" customHeight="false" outlineLevel="0" collapsed="false">
      <c r="A27" s="28" t="s">
        <v>734</v>
      </c>
      <c r="B27" s="63" t="s">
        <v>54</v>
      </c>
      <c r="C27" s="64" t="n">
        <f aca="false">SUM(E27:P27)</f>
        <v>6492.67645702395</v>
      </c>
      <c r="D27" s="64" t="n">
        <f aca="false">SUM(Q27:AB27)</f>
        <v>9226.55863693987</v>
      </c>
      <c r="E27" s="65" t="n">
        <f aca="false">Subscriptions!E252</f>
        <v>889.93</v>
      </c>
      <c r="F27" s="65" t="n">
        <f aca="false">Subscriptions!F252</f>
        <v>373.57</v>
      </c>
      <c r="G27" s="65" t="n">
        <f aca="false">Subscriptions!G252</f>
        <v>512.29</v>
      </c>
      <c r="H27" s="65" t="n">
        <f aca="false">Subscriptions!H252</f>
        <v>621.88</v>
      </c>
      <c r="I27" s="65" t="n">
        <f aca="false">Subscriptions!I252</f>
        <v>606.34</v>
      </c>
      <c r="J27" s="65" t="n">
        <f aca="false">Subscriptions!J252</f>
        <v>432.11</v>
      </c>
      <c r="K27" s="65" t="n">
        <f aca="false">Subscriptions!K252</f>
        <v>710.24</v>
      </c>
      <c r="L27" s="65" t="n">
        <f aca="false">Subscriptions!L252</f>
        <v>350.54</v>
      </c>
      <c r="M27" s="65" t="n">
        <f aca="false">Subscriptions!M252</f>
        <v>543.4736216</v>
      </c>
      <c r="N27" s="65" t="n">
        <f aca="false">Subscriptions!N252</f>
        <v>460.5270124273</v>
      </c>
      <c r="O27" s="65" t="n">
        <f aca="false">Subscriptions!O252</f>
        <v>532.688733549594</v>
      </c>
      <c r="P27" s="65" t="n">
        <f aca="false">Subscriptions!P252</f>
        <v>459.087089447054</v>
      </c>
      <c r="Q27" s="65" t="n">
        <f aca="false">Subscriptions!Q252</f>
        <v>1305.20243932628</v>
      </c>
      <c r="R27" s="65" t="n">
        <f aca="false">Subscriptions!R252</f>
        <v>576.665725293727</v>
      </c>
      <c r="S27" s="65" t="n">
        <f aca="false">Subscriptions!S252</f>
        <v>829.552337112663</v>
      </c>
      <c r="T27" s="65" t="n">
        <f aca="false">Subscriptions!T252</f>
        <v>847.759481563561</v>
      </c>
      <c r="U27" s="65" t="n">
        <f aca="false">Subscriptions!U252</f>
        <v>746.897777547326</v>
      </c>
      <c r="V27" s="65" t="n">
        <f aca="false">Subscriptions!V252</f>
        <v>643.565666049548</v>
      </c>
      <c r="W27" s="65" t="n">
        <f aca="false">Subscriptions!W252</f>
        <v>916.922994698201</v>
      </c>
      <c r="X27" s="65" t="n">
        <f aca="false">Subscriptions!X252</f>
        <v>574.249257830423</v>
      </c>
      <c r="Y27" s="65" t="n">
        <f aca="false">Subscriptions!Y252</f>
        <v>754.56261543476</v>
      </c>
      <c r="Z27" s="65" t="n">
        <f aca="false">Subscriptions!Z252</f>
        <v>674.855671755848</v>
      </c>
      <c r="AA27" s="65" t="n">
        <f aca="false">Subscriptions!AA252</f>
        <v>730.99177029537</v>
      </c>
      <c r="AB27" s="65" t="n">
        <f aca="false">Subscriptions!AB252</f>
        <v>625.332900032157</v>
      </c>
    </row>
    <row r="28" customFormat="false" ht="15" hidden="false" customHeight="false" outlineLevel="0" collapsed="false">
      <c r="A28" s="28" t="s">
        <v>735</v>
      </c>
      <c r="B28" s="63" t="s">
        <v>54</v>
      </c>
      <c r="C28" s="64" t="n">
        <f aca="false">SUM(E28:P28)</f>
        <v>-3286.72604358726</v>
      </c>
      <c r="D28" s="64" t="n">
        <f aca="false">SUM(Q28:AB28)</f>
        <v>-4022.05962925619</v>
      </c>
      <c r="E28" s="65" t="n">
        <f aca="false">Subscriptions!E251</f>
        <v>-643.75</v>
      </c>
      <c r="F28" s="65" t="n">
        <f aca="false">Subscriptions!F251</f>
        <v>-162.52</v>
      </c>
      <c r="G28" s="65" t="n">
        <f aca="false">Subscriptions!G251</f>
        <v>-309.78</v>
      </c>
      <c r="H28" s="65" t="n">
        <f aca="false">Subscriptions!H251</f>
        <v>-257.48</v>
      </c>
      <c r="I28" s="65" t="n">
        <f aca="false">Subscriptions!I251</f>
        <v>-277.9</v>
      </c>
      <c r="J28" s="65" t="n">
        <f aca="false">Subscriptions!J251</f>
        <v>-206.34</v>
      </c>
      <c r="K28" s="65" t="n">
        <f aca="false">Subscriptions!K251</f>
        <v>-401.83</v>
      </c>
      <c r="L28" s="65" t="n">
        <f aca="false">Subscriptions!L251</f>
        <v>-178.96</v>
      </c>
      <c r="M28" s="65" t="n">
        <f aca="false">Subscriptions!M251</f>
        <v>-221.825968</v>
      </c>
      <c r="N28" s="65" t="n">
        <f aca="false">Subscriptions!N251</f>
        <v>-187.970209154</v>
      </c>
      <c r="O28" s="65" t="n">
        <f aca="false">Subscriptions!O251</f>
        <v>-237.633320365051</v>
      </c>
      <c r="P28" s="65" t="n">
        <f aca="false">Subscriptions!P251</f>
        <v>-200.736546068207</v>
      </c>
      <c r="Q28" s="65" t="n">
        <f aca="false">Subscriptions!Q251</f>
        <v>-571.026207600372</v>
      </c>
      <c r="R28" s="65" t="n">
        <f aca="false">Subscriptions!R251</f>
        <v>-254.115299548038</v>
      </c>
      <c r="S28" s="65" t="n">
        <f aca="false">Subscriptions!S251</f>
        <v>-370.477402500453</v>
      </c>
      <c r="T28" s="65" t="n">
        <f aca="false">Subscriptions!T251</f>
        <v>-366.933258386637</v>
      </c>
      <c r="U28" s="65" t="n">
        <f aca="false">Subscriptions!U251</f>
        <v>-318.224702734202</v>
      </c>
      <c r="V28" s="65" t="n">
        <f aca="false">Subscriptions!V251</f>
        <v>-281.598427978888</v>
      </c>
      <c r="W28" s="65" t="n">
        <f aca="false">Subscriptions!W251</f>
        <v>-392.981516294327</v>
      </c>
      <c r="X28" s="65" t="n">
        <f aca="false">Subscriptions!X251</f>
        <v>-255.920232747681</v>
      </c>
      <c r="Y28" s="65" t="n">
        <f aca="false">Subscriptions!Y251</f>
        <v>-327.553789044977</v>
      </c>
      <c r="Z28" s="65" t="n">
        <f aca="false">Subscriptions!Z251</f>
        <v>-295.744456718017</v>
      </c>
      <c r="AA28" s="65" t="n">
        <f aca="false">Subscriptions!AA251</f>
        <v>-316.84596641341</v>
      </c>
      <c r="AB28" s="65" t="n">
        <f aca="false">Subscriptions!AB251</f>
        <v>-270.638369289187</v>
      </c>
    </row>
    <row r="29" customFormat="false" ht="15" hidden="false" customHeight="false" outlineLevel="0" collapsed="false">
      <c r="A29" s="28" t="s">
        <v>736</v>
      </c>
      <c r="B29" s="63" t="s">
        <v>54</v>
      </c>
      <c r="C29" s="64" t="n">
        <f aca="false">SUM(E29:P29)</f>
        <v>-25628.9752335856</v>
      </c>
      <c r="D29" s="64" t="n">
        <f aca="false">SUM(Q29:AB29)</f>
        <v>-23387.726565722</v>
      </c>
      <c r="E29" s="65" t="n">
        <f aca="false">Subscriptions!E249</f>
        <v>-3670.34</v>
      </c>
      <c r="F29" s="65" t="n">
        <f aca="false">Subscriptions!F249</f>
        <v>-2838.26</v>
      </c>
      <c r="G29" s="65" t="n">
        <f aca="false">Subscriptions!G249</f>
        <v>-4448.39</v>
      </c>
      <c r="H29" s="65" t="n">
        <f aca="false">Subscriptions!H249</f>
        <v>-924.67</v>
      </c>
      <c r="I29" s="65" t="n">
        <f aca="false">Subscriptions!I249</f>
        <v>-3484.7</v>
      </c>
      <c r="J29" s="65" t="n">
        <f aca="false">Subscriptions!J249</f>
        <v>-1012.71</v>
      </c>
      <c r="K29" s="65" t="n">
        <f aca="false">Subscriptions!K249</f>
        <v>-1896.73</v>
      </c>
      <c r="L29" s="65" t="n">
        <f aca="false">Subscriptions!L249</f>
        <v>-2700.49</v>
      </c>
      <c r="M29" s="65" t="n">
        <f aca="false">Subscriptions!M249</f>
        <v>-1096.9416</v>
      </c>
      <c r="N29" s="65" t="n">
        <f aca="false">Subscriptions!N249</f>
        <v>-929.5230123</v>
      </c>
      <c r="O29" s="65" t="n">
        <f aca="false">Subscriptions!O249</f>
        <v>-1451.15830792058</v>
      </c>
      <c r="P29" s="65" t="n">
        <f aca="false">Subscriptions!P249</f>
        <v>-1175.06231336503</v>
      </c>
      <c r="Q29" s="65" t="n">
        <f aca="false">Subscriptions!Q249</f>
        <v>-3346.78321906429</v>
      </c>
      <c r="R29" s="65" t="n">
        <f aca="false">Subscriptions!R249</f>
        <v>-1512.61308381418</v>
      </c>
      <c r="S29" s="65" t="n">
        <f aca="false">Subscriptions!S249</f>
        <v>-2267.55723112956</v>
      </c>
      <c r="T29" s="65" t="n">
        <f aca="false">Subscriptions!T249</f>
        <v>-2100.11020074497</v>
      </c>
      <c r="U29" s="65" t="n">
        <f aca="false">Subscriptions!U249</f>
        <v>-1756.24448719486</v>
      </c>
      <c r="V29" s="65" t="n">
        <f aca="false">Subscriptions!V249</f>
        <v>-1650.93679784413</v>
      </c>
      <c r="W29" s="65" t="n">
        <f aca="false">Subscriptions!W249</f>
        <v>-2199.11880674236</v>
      </c>
      <c r="X29" s="65" t="n">
        <f aca="false">Subscriptions!X249</f>
        <v>-1559.66545660427</v>
      </c>
      <c r="Y29" s="65" t="n">
        <f aca="false">Subscriptions!Y249</f>
        <v>-1887.07383092931</v>
      </c>
      <c r="Z29" s="65" t="n">
        <f aca="false">Subscriptions!Z249</f>
        <v>-1739.66593156542</v>
      </c>
      <c r="AA29" s="65" t="n">
        <f aca="false">Subscriptions!AA249</f>
        <v>-1819.27429282849</v>
      </c>
      <c r="AB29" s="65" t="n">
        <f aca="false">Subscriptions!AB249</f>
        <v>-1548.6832272602</v>
      </c>
    </row>
    <row r="30" customFormat="false" ht="15" hidden="false" customHeight="false" outlineLevel="0" collapsed="false">
      <c r="A30" s="59" t="s">
        <v>737</v>
      </c>
      <c r="B30" s="60"/>
      <c r="C30" s="61" t="n">
        <f aca="false">P30</f>
        <v>206169.015987616</v>
      </c>
      <c r="D30" s="61" t="n">
        <f aca="false">AB30</f>
        <v>261121.188491756</v>
      </c>
      <c r="E30" s="62" t="n">
        <f aca="false">Subscriptions!E183</f>
        <v>161537.76</v>
      </c>
      <c r="F30" s="62" t="n">
        <f aca="false">Subscriptions!F183</f>
        <v>164221.87</v>
      </c>
      <c r="G30" s="62" t="n">
        <f aca="false">Subscriptions!G183</f>
        <v>168175.09</v>
      </c>
      <c r="H30" s="62" t="n">
        <f aca="false">Subscriptions!H183</f>
        <v>173607.3</v>
      </c>
      <c r="I30" s="62" t="n">
        <f aca="false">Subscriptions!I183</f>
        <v>174737.86</v>
      </c>
      <c r="J30" s="62" t="n">
        <f aca="false">Subscriptions!J183</f>
        <v>179786.18</v>
      </c>
      <c r="K30" s="62" t="n">
        <f aca="false">Subscriptions!K183</f>
        <v>183863.96</v>
      </c>
      <c r="L30" s="62" t="n">
        <f aca="false">Subscriptions!L183</f>
        <v>187368.91</v>
      </c>
      <c r="M30" s="62" t="n">
        <f aca="false">Subscriptions!M183</f>
        <v>192436.78119128</v>
      </c>
      <c r="N30" s="62" t="n">
        <f aca="false">Subscriptions!N183</f>
        <v>197733.437557769</v>
      </c>
      <c r="O30" s="62" t="n">
        <f aca="false">Subscriptions!O183</f>
        <v>202185.41245898</v>
      </c>
      <c r="P30" s="62" t="n">
        <f aca="false">Subscriptions!P183</f>
        <v>206169.015987616</v>
      </c>
      <c r="Q30" s="62" t="n">
        <f aca="false">Subscriptions!Q183</f>
        <v>210929.915137777</v>
      </c>
      <c r="R30" s="62" t="n">
        <f aca="false">Subscriptions!R183</f>
        <v>215919.185320842</v>
      </c>
      <c r="S30" s="62" t="n">
        <f aca="false">Subscriptions!S183</f>
        <v>220398.149792098</v>
      </c>
      <c r="T30" s="62" t="n">
        <f aca="false">Subscriptions!T183</f>
        <v>224921.647227816</v>
      </c>
      <c r="U30" s="62" t="n">
        <f aca="false">Subscriptions!U183</f>
        <v>229684.216038077</v>
      </c>
      <c r="V30" s="62" t="n">
        <f aca="false">Subscriptions!V183</f>
        <v>234194.714753691</v>
      </c>
      <c r="W30" s="62" t="n">
        <f aca="false">Subscriptions!W183</f>
        <v>238178.354248375</v>
      </c>
      <c r="X30" s="62" t="n">
        <f aca="false">Subscriptions!X183</f>
        <v>241582.221397932</v>
      </c>
      <c r="Y30" s="62" t="n">
        <f aca="false">Subscriptions!Y183</f>
        <v>246633.176101812</v>
      </c>
      <c r="Z30" s="62" t="n">
        <f aca="false">Subscriptions!Z183</f>
        <v>251903.4488387</v>
      </c>
      <c r="AA30" s="62" t="n">
        <f aca="false">Subscriptions!AA183</f>
        <v>256795.226601984</v>
      </c>
      <c r="AB30" s="62" t="n">
        <f aca="false">Subscriptions!AB183</f>
        <v>261121.188491756</v>
      </c>
    </row>
    <row r="31" customFormat="false" ht="15" hidden="false" customHeight="false" outlineLevel="0" collapsed="false">
      <c r="A31" s="28" t="s">
        <v>738</v>
      </c>
      <c r="B31" s="63"/>
      <c r="C31" s="64" t="n">
        <f aca="false">P31</f>
        <v>2474028.19185139</v>
      </c>
      <c r="D31" s="64" t="n">
        <f aca="false">AB31</f>
        <v>3133454.26190107</v>
      </c>
      <c r="E31" s="74" t="n">
        <f aca="false">12*E30</f>
        <v>1938453.12</v>
      </c>
      <c r="F31" s="74" t="n">
        <f aca="false">12*F30</f>
        <v>1970662.44</v>
      </c>
      <c r="G31" s="74" t="n">
        <f aca="false">12*G30</f>
        <v>2018101.08</v>
      </c>
      <c r="H31" s="74" t="n">
        <f aca="false">12*H30</f>
        <v>2083287.6</v>
      </c>
      <c r="I31" s="74" t="n">
        <f aca="false">12*I30</f>
        <v>2096854.32</v>
      </c>
      <c r="J31" s="74" t="n">
        <f aca="false">12*J30</f>
        <v>2157434.16</v>
      </c>
      <c r="K31" s="74" t="n">
        <f aca="false">12*K30</f>
        <v>2206367.52</v>
      </c>
      <c r="L31" s="74" t="n">
        <f aca="false">12*L30</f>
        <v>2248426.92</v>
      </c>
      <c r="M31" s="74" t="n">
        <f aca="false">12*M30</f>
        <v>2309241.37429536</v>
      </c>
      <c r="N31" s="74" t="n">
        <f aca="false">12*N30</f>
        <v>2372801.25069323</v>
      </c>
      <c r="O31" s="74" t="n">
        <f aca="false">12*O30</f>
        <v>2426224.94950777</v>
      </c>
      <c r="P31" s="74" t="n">
        <f aca="false">12*P30</f>
        <v>2474028.19185139</v>
      </c>
      <c r="Q31" s="74" t="n">
        <f aca="false">12*Q30</f>
        <v>2531158.98165333</v>
      </c>
      <c r="R31" s="74" t="n">
        <f aca="false">12*R30</f>
        <v>2591030.2238501</v>
      </c>
      <c r="S31" s="74" t="n">
        <f aca="false">12*S30</f>
        <v>2644777.79750517</v>
      </c>
      <c r="T31" s="74" t="n">
        <f aca="false">12*T30</f>
        <v>2699059.76673379</v>
      </c>
      <c r="U31" s="74" t="n">
        <f aca="false">12*U30</f>
        <v>2756210.59245692</v>
      </c>
      <c r="V31" s="74" t="n">
        <f aca="false">12*V30</f>
        <v>2810336.57704429</v>
      </c>
      <c r="W31" s="74" t="n">
        <f aca="false">12*W30</f>
        <v>2858140.2509805</v>
      </c>
      <c r="X31" s="74" t="n">
        <f aca="false">12*X30</f>
        <v>2898986.65677518</v>
      </c>
      <c r="Y31" s="74" t="n">
        <f aca="false">12*Y30</f>
        <v>2959598.11322175</v>
      </c>
      <c r="Z31" s="74" t="n">
        <f aca="false">12*Z30</f>
        <v>3022841.3860644</v>
      </c>
      <c r="AA31" s="74" t="n">
        <f aca="false">12*AA30</f>
        <v>3081542.7192238</v>
      </c>
      <c r="AB31" s="74" t="n">
        <f aca="false">12*AB30</f>
        <v>3133454.26190107</v>
      </c>
    </row>
    <row r="32" customFormat="false" ht="15" hidden="false" customHeight="false" outlineLevel="0" collapsed="false">
      <c r="A32" s="28" t="s">
        <v>340</v>
      </c>
      <c r="B32" s="63"/>
      <c r="C32" s="68" t="n">
        <f aca="false">P32</f>
        <v>176.98722</v>
      </c>
      <c r="D32" s="68" t="n">
        <f aca="false">AB32</f>
        <v>203.8623204</v>
      </c>
      <c r="E32" s="69" t="n">
        <f aca="false">Subscriptions!E245</f>
        <v>151</v>
      </c>
      <c r="F32" s="69" t="n">
        <f aca="false">Subscriptions!F245</f>
        <v>152</v>
      </c>
      <c r="G32" s="69" t="n">
        <f aca="false">Subscriptions!G245</f>
        <v>155</v>
      </c>
      <c r="H32" s="69" t="n">
        <f aca="false">Subscriptions!H245</f>
        <v>159</v>
      </c>
      <c r="I32" s="69" t="n">
        <f aca="false">Subscriptions!I245</f>
        <v>158</v>
      </c>
      <c r="J32" s="69" t="n">
        <f aca="false">Subscriptions!J245</f>
        <v>161</v>
      </c>
      <c r="K32" s="69" t="n">
        <f aca="false">Subscriptions!K245</f>
        <v>163</v>
      </c>
      <c r="L32" s="69" t="n">
        <f aca="false">Subscriptions!L245</f>
        <v>165</v>
      </c>
      <c r="M32" s="69" t="n">
        <f aca="false">Subscriptions!M245</f>
        <v>168.36531</v>
      </c>
      <c r="N32" s="69" t="n">
        <f aca="false">Subscriptions!N245</f>
        <v>172.09585</v>
      </c>
      <c r="O32" s="69" t="n">
        <f aca="false">Subscriptions!O245</f>
        <v>174.71311</v>
      </c>
      <c r="P32" s="69" t="n">
        <f aca="false">Subscriptions!P245</f>
        <v>176.98722</v>
      </c>
      <c r="Q32" s="69" t="n">
        <f aca="false">Subscriptions!Q245</f>
        <v>178.81145</v>
      </c>
      <c r="R32" s="69" t="n">
        <f aca="false">Subscriptions!R245</f>
        <v>181.85676</v>
      </c>
      <c r="S32" s="69" t="n">
        <f aca="false">Subscriptions!S245</f>
        <v>184.03784</v>
      </c>
      <c r="T32" s="69" t="n">
        <f aca="false">Subscriptions!T245</f>
        <v>186.07228</v>
      </c>
      <c r="U32" s="69" t="n">
        <f aca="false">Subscriptions!U245</f>
        <v>188.56672</v>
      </c>
      <c r="V32" s="69" t="n">
        <f aca="false">Subscriptions!V245</f>
        <v>190.97452</v>
      </c>
      <c r="W32" s="69" t="n">
        <f aca="false">Subscriptions!W245</f>
        <v>192.46863</v>
      </c>
      <c r="X32" s="69" t="n">
        <f aca="false">Subscriptions!X245</f>
        <v>193.78</v>
      </c>
      <c r="Y32" s="69" t="n">
        <f aca="false">Subscriptions!Y245</f>
        <v>196.4515542</v>
      </c>
      <c r="Z32" s="69" t="n">
        <f aca="false">Subscriptions!Z245</f>
        <v>199.438597</v>
      </c>
      <c r="AA32" s="69" t="n">
        <f aca="false">Subscriptions!AA245</f>
        <v>201.8567502</v>
      </c>
      <c r="AB32" s="69" t="n">
        <f aca="false">Subscriptions!AB245</f>
        <v>203.8623204</v>
      </c>
    </row>
    <row r="33" customFormat="false" ht="15" hidden="false" customHeight="false" outlineLevel="0" collapsed="false">
      <c r="A33" s="28" t="s">
        <v>739</v>
      </c>
      <c r="B33" s="63"/>
      <c r="C33" s="68" t="n">
        <f aca="false">SUM(E33:P33)</f>
        <v>57.82722</v>
      </c>
      <c r="D33" s="68" t="n">
        <f aca="false">SUM(Q33:AB33)</f>
        <v>49.2</v>
      </c>
      <c r="E33" s="69" t="n">
        <f aca="false">Subscriptions!E255</f>
        <v>9</v>
      </c>
      <c r="F33" s="69" t="n">
        <f aca="false">Subscriptions!F255</f>
        <v>4</v>
      </c>
      <c r="G33" s="69" t="n">
        <f aca="false">Subscriptions!G255</f>
        <v>7</v>
      </c>
      <c r="H33" s="69" t="n">
        <f aca="false">Subscriptions!H255</f>
        <v>5</v>
      </c>
      <c r="I33" s="69" t="n">
        <f aca="false">Subscriptions!I255</f>
        <v>3</v>
      </c>
      <c r="J33" s="69" t="n">
        <f aca="false">Subscriptions!J255</f>
        <v>4</v>
      </c>
      <c r="K33" s="69" t="n">
        <f aca="false">Subscriptions!K255</f>
        <v>4</v>
      </c>
      <c r="L33" s="69" t="n">
        <f aca="false">Subscriptions!L255</f>
        <v>5</v>
      </c>
      <c r="M33" s="69" t="n">
        <f aca="false">Subscriptions!M255</f>
        <v>4.46531</v>
      </c>
      <c r="N33" s="69" t="n">
        <f aca="false">Subscriptions!N255</f>
        <v>4.63054</v>
      </c>
      <c r="O33" s="69" t="n">
        <f aca="false">Subscriptions!O255</f>
        <v>4.21726</v>
      </c>
      <c r="P33" s="69" t="n">
        <f aca="false">Subscriptions!P255</f>
        <v>3.51411</v>
      </c>
      <c r="Q33" s="69" t="n">
        <f aca="false">Subscriptions!Q255</f>
        <v>5.04423</v>
      </c>
      <c r="R33" s="69" t="n">
        <f aca="false">Subscriptions!R255</f>
        <v>4.46531</v>
      </c>
      <c r="S33" s="69" t="n">
        <f aca="false">Subscriptions!S255</f>
        <v>4.34108</v>
      </c>
      <c r="T33" s="69" t="n">
        <f aca="false">Subscriptions!T255</f>
        <v>4.13444</v>
      </c>
      <c r="U33" s="69" t="n">
        <f aca="false">Subscriptions!U255</f>
        <v>4.13444</v>
      </c>
      <c r="V33" s="69" t="n">
        <f aca="false">Subscriptions!V255</f>
        <v>3.9278</v>
      </c>
      <c r="W33" s="69" t="n">
        <f aca="false">Subscriptions!W255</f>
        <v>3.51411</v>
      </c>
      <c r="X33" s="69" t="n">
        <f aca="false">Subscriptions!X255</f>
        <v>2.81137</v>
      </c>
      <c r="Y33" s="69" t="n">
        <f aca="false">Subscriptions!Y255</f>
        <v>4.46531</v>
      </c>
      <c r="Z33" s="69" t="n">
        <f aca="false">Subscriptions!Z255</f>
        <v>4.63054</v>
      </c>
      <c r="AA33" s="69" t="n">
        <f aca="false">Subscriptions!AA255</f>
        <v>4.21726</v>
      </c>
      <c r="AB33" s="69" t="n">
        <f aca="false">Subscriptions!AB255</f>
        <v>3.51411</v>
      </c>
    </row>
    <row r="34" customFormat="false" ht="15" hidden="false" customHeight="false" outlineLevel="0" collapsed="false">
      <c r="A34" s="28" t="s">
        <v>740</v>
      </c>
      <c r="B34" s="63"/>
      <c r="C34" s="68" t="n">
        <f aca="false">SUM(E34:P34)</f>
        <v>-26.84</v>
      </c>
      <c r="D34" s="68" t="n">
        <f aca="false">SUM(Q34:AB34)</f>
        <v>-22.3248996</v>
      </c>
      <c r="E34" s="69" t="n">
        <f aca="false">Subscriptions!E256</f>
        <v>-4</v>
      </c>
      <c r="F34" s="69" t="n">
        <f aca="false">Subscriptions!F256</f>
        <v>-3</v>
      </c>
      <c r="G34" s="69" t="n">
        <f aca="false">Subscriptions!G256</f>
        <v>-4</v>
      </c>
      <c r="H34" s="69" t="n">
        <f aca="false">Subscriptions!H256</f>
        <v>-1</v>
      </c>
      <c r="I34" s="69" t="n">
        <f aca="false">Subscriptions!I256</f>
        <v>-4</v>
      </c>
      <c r="J34" s="69" t="n">
        <f aca="false">Subscriptions!J256</f>
        <v>-1</v>
      </c>
      <c r="K34" s="69" t="n">
        <f aca="false">Subscriptions!K256</f>
        <v>-2</v>
      </c>
      <c r="L34" s="69" t="n">
        <f aca="false">Subscriptions!L256</f>
        <v>-3</v>
      </c>
      <c r="M34" s="69" t="n">
        <f aca="false">Subscriptions!M256</f>
        <v>-1.1</v>
      </c>
      <c r="N34" s="69" t="n">
        <f aca="false">Subscriptions!N256</f>
        <v>-0.9</v>
      </c>
      <c r="O34" s="69" t="n">
        <f aca="false">Subscriptions!O256</f>
        <v>-1.6</v>
      </c>
      <c r="P34" s="69" t="n">
        <f aca="false">Subscriptions!P256</f>
        <v>-1.24</v>
      </c>
      <c r="Q34" s="69" t="n">
        <f aca="false">Subscriptions!Q256</f>
        <v>-3.22</v>
      </c>
      <c r="R34" s="69" t="n">
        <f aca="false">Subscriptions!R256</f>
        <v>-1.42</v>
      </c>
      <c r="S34" s="69" t="n">
        <f aca="false">Subscriptions!S256</f>
        <v>-2.16</v>
      </c>
      <c r="T34" s="69" t="n">
        <f aca="false">Subscriptions!T256</f>
        <v>-2.1</v>
      </c>
      <c r="U34" s="69" t="n">
        <f aca="false">Subscriptions!U256</f>
        <v>-1.64</v>
      </c>
      <c r="V34" s="69" t="n">
        <f aca="false">Subscriptions!V256</f>
        <v>-1.52</v>
      </c>
      <c r="W34" s="69" t="n">
        <f aca="false">Subscriptions!W256</f>
        <v>-2.02</v>
      </c>
      <c r="X34" s="69" t="n">
        <f aca="false">Subscriptions!X256</f>
        <v>-1.5</v>
      </c>
      <c r="Y34" s="69" t="n">
        <f aca="false">Subscriptions!Y256</f>
        <v>-1.7937558</v>
      </c>
      <c r="Z34" s="69" t="n">
        <f aca="false">Subscriptions!Z256</f>
        <v>-1.6434972</v>
      </c>
      <c r="AA34" s="69" t="n">
        <f aca="false">Subscriptions!AA256</f>
        <v>-1.7991068</v>
      </c>
      <c r="AB34" s="69" t="n">
        <f aca="false">Subscriptions!AB256</f>
        <v>-1.5085398</v>
      </c>
    </row>
    <row r="35" customFormat="false" ht="15" hidden="false" customHeight="false" outlineLevel="0" collapsed="false">
      <c r="A35" s="28" t="s">
        <v>341</v>
      </c>
      <c r="B35" s="63"/>
      <c r="C35" s="64" t="n">
        <f aca="false">P35</f>
        <v>1164.88080883815</v>
      </c>
      <c r="D35" s="64" t="n">
        <f aca="false">AB35</f>
        <v>1280.87028529552</v>
      </c>
      <c r="E35" s="74" t="n">
        <f aca="false">IF(E32=0,0,E30/E32)</f>
        <v>1069.78649006623</v>
      </c>
      <c r="F35" s="74" t="n">
        <f aca="false">IF(F32=0,0,F30/F32)</f>
        <v>1080.40703947368</v>
      </c>
      <c r="G35" s="74" t="n">
        <f aca="false">IF(G32=0,0,G30/G32)</f>
        <v>1085.00058064516</v>
      </c>
      <c r="H35" s="74" t="n">
        <f aca="false">IF(H32=0,0,H30/H32)</f>
        <v>1091.86981132075</v>
      </c>
      <c r="I35" s="74" t="n">
        <f aca="false">IF(I32=0,0,I30/I32)</f>
        <v>1105.93582278481</v>
      </c>
      <c r="J35" s="74" t="n">
        <f aca="false">IF(J32=0,0,J30/J32)</f>
        <v>1116.68434782609</v>
      </c>
      <c r="K35" s="74" t="n">
        <f aca="false">IF(K32=0,0,K30/K32)</f>
        <v>1127.99975460123</v>
      </c>
      <c r="L35" s="74" t="n">
        <f aca="false">IF(L32=0,0,L30/L32)</f>
        <v>1135.56915151515</v>
      </c>
      <c r="M35" s="74" t="n">
        <f aca="false">IF(M32=0,0,M30/M32)</f>
        <v>1142.97167980316</v>
      </c>
      <c r="N35" s="74" t="n">
        <f aca="false">IF(N32=0,0,N30/N32)</f>
        <v>1148.97272396614</v>
      </c>
      <c r="O35" s="74" t="n">
        <f aca="false">IF(O32=0,0,O30/O32)</f>
        <v>1157.24236411899</v>
      </c>
      <c r="P35" s="74" t="n">
        <f aca="false">IF(P32=0,0,P30/P32)</f>
        <v>1164.88080883815</v>
      </c>
      <c r="Q35" s="74" t="n">
        <f aca="false">IF(Q32=0,0,Q30/Q32)</f>
        <v>1179.62197128751</v>
      </c>
      <c r="R35" s="74" t="n">
        <f aca="false">IF(R32=0,0,R30/R32)</f>
        <v>1187.30359718738</v>
      </c>
      <c r="S35" s="74" t="n">
        <f aca="false">IF(S32=0,0,S30/S32)</f>
        <v>1197.56974865657</v>
      </c>
      <c r="T35" s="74" t="n">
        <f aca="false">IF(T32=0,0,T30/T32)</f>
        <v>1208.7864308849</v>
      </c>
      <c r="U35" s="74" t="n">
        <f aca="false">IF(U32=0,0,U30/U32)</f>
        <v>1218.05277218629</v>
      </c>
      <c r="V35" s="74" t="n">
        <f aca="false">IF(V32=0,0,V30/V32)</f>
        <v>1226.31393315554</v>
      </c>
      <c r="W35" s="74" t="n">
        <f aca="false">IF(W32=0,0,W30/W32)</f>
        <v>1237.49181489147</v>
      </c>
      <c r="X35" s="74" t="n">
        <f aca="false">IF(X32=0,0,X30/X32)</f>
        <v>1246.68294662985</v>
      </c>
      <c r="Y35" s="74" t="n">
        <f aca="false">IF(Y32=0,0,Y30/Y32)</f>
        <v>1255.44018781712</v>
      </c>
      <c r="Z35" s="74" t="n">
        <f aca="false">IF(Z32=0,0,Z30/Z32)</f>
        <v>1263.06268008243</v>
      </c>
      <c r="AA35" s="74" t="n">
        <f aca="false">IF(AA32=0,0,AA30/AA32)</f>
        <v>1272.16566375685</v>
      </c>
      <c r="AB35" s="74" t="n">
        <f aca="false">IF(AB32=0,0,AB30/AB32)</f>
        <v>1280.87028529552</v>
      </c>
    </row>
    <row r="36" customFormat="false" ht="15" hidden="false" customHeight="false" outlineLevel="0" collapsed="false">
      <c r="A36" s="28" t="s">
        <v>9</v>
      </c>
      <c r="B36" s="63" t="s">
        <v>741</v>
      </c>
      <c r="C36" s="66" t="n">
        <f aca="false">P36</f>
        <v>0.967711658938174</v>
      </c>
      <c r="D36" s="66" t="n">
        <f aca="false">AB36</f>
        <v>1.02473830744987</v>
      </c>
      <c r="E36" s="67" t="n">
        <f aca="false">IF(History!$C$24=0,0,(History!$C$24+SUM(ARR_Bridge!E26:E26)+SUM(History!$D$20:$N$20)+SUM(ARR_Bridge!E27:E27)+SUM(History!$D$21:$N$21)+SUM(ARR_Bridge!E28:E28)+SUM(History!$D$22:$N$22)+SUM(ARR_Bridge!E29:E29)+SUM(History!$D$23:$N$23))/History!$C$24)</f>
        <v>0.988685161413018</v>
      </c>
      <c r="F36" s="67" t="n">
        <f aca="false">IF(History!$D$24=0,0,(History!$D$24+SUM(ARR_Bridge!E26:F26)+SUM(History!$E$20:$N$20)+SUM(ARR_Bridge!E27:F27)+SUM(History!$E$21:$N$21)+SUM(ARR_Bridge!E28:F28)+SUM(History!$E$22:$N$22)+SUM(ARR_Bridge!E29:F29)+SUM(History!$E$23:$N$23))/History!$D$24)</f>
        <v>0.974670636259743</v>
      </c>
      <c r="G36" s="67" t="n">
        <f aca="false">IF(History!$E$24=0,0,(History!$E$24+SUM(ARR_Bridge!E26:G26)+SUM(History!$F$20:$N$20)+SUM(ARR_Bridge!E27:G27)+SUM(History!$F$21:$N$21)+SUM(ARR_Bridge!E28:G28)+SUM(History!$F$22:$N$22)+SUM(ARR_Bridge!E29:G29)+SUM(History!$F$23:$N$23))/History!$E$24)</f>
        <v>0.943015667236409</v>
      </c>
      <c r="H36" s="67" t="n">
        <f aca="false">IF(History!$F$24=0,0,(History!$F$24+SUM(ARR_Bridge!E26:H26)+SUM(History!$G$20:$N$20)+SUM(ARR_Bridge!E27:H27)+SUM(History!$G$21:$N$21)+SUM(ARR_Bridge!E28:H28)+SUM(History!$G$22:$N$22)+SUM(ARR_Bridge!E29:H29)+SUM(History!$G$23:$N$23))/History!$F$24)</f>
        <v>0.946795471608846</v>
      </c>
      <c r="I36" s="67" t="n">
        <f aca="false">IF(History!$G$24=0,0,(History!$G$24+SUM(ARR_Bridge!E26:I26)+SUM(History!$H$20:$N$20)+SUM(ARR_Bridge!E27:I27)+SUM(History!$H$21:$N$21)+SUM(ARR_Bridge!E28:I28)+SUM(History!$H$22:$N$22)+SUM(ARR_Bridge!E29:I29)+SUM(History!$H$23:$N$23))/History!$G$24)</f>
        <v>0.933828973272214</v>
      </c>
      <c r="J36" s="67" t="n">
        <f aca="false">IF(History!$H$24=0,0,(History!$H$24+SUM(ARR_Bridge!E26:J26)+SUM(History!$I$20:$N$20)+SUM(ARR_Bridge!E27:J27)+SUM(History!$I$21:$N$21)+SUM(ARR_Bridge!E28:J28)+SUM(History!$I$22:$N$22)+SUM(ARR_Bridge!E29:J29)+SUM(History!$I$23:$N$23))/History!$H$24)</f>
        <v>0.94430295618394</v>
      </c>
      <c r="K36" s="67" t="n">
        <f aca="false">IF(History!$I$24=0,0,(History!$I$24+SUM(ARR_Bridge!E26:K26)+SUM(History!$J$20:$N$20)+SUM(ARR_Bridge!E27:K27)+SUM(History!$J$21:$N$21)+SUM(ARR_Bridge!E28:K28)+SUM(History!$J$22:$N$22)+SUM(ARR_Bridge!E29:K29)+SUM(History!$J$23:$N$23))/History!$I$24)</f>
        <v>0.942947625851835</v>
      </c>
      <c r="L36" s="67" t="n">
        <f aca="false">IF(History!$J$24=0,0,(History!$J$24+SUM(ARR_Bridge!E26:L26)+SUM(History!$K$20:$N$20)+SUM(ARR_Bridge!E27:L27)+SUM(History!$K$21:$N$21)+SUM(ARR_Bridge!E28:L28)+SUM(History!$K$22:$N$22)+SUM(ARR_Bridge!E29:L29)+SUM(History!$K$23:$N$23))/History!$J$24)</f>
        <v>0.935915821459215</v>
      </c>
      <c r="M36" s="67" t="n">
        <f aca="false">IF(History!$K$24=0,0,(History!$K$24+SUM(ARR_Bridge!E26:M26)+SUM(History!$L$20:$N$20)+SUM(ARR_Bridge!E27:M27)+SUM(History!$L$21:$N$21)+SUM(ARR_Bridge!E28:M28)+SUM(History!$L$22:$N$22)+SUM(ARR_Bridge!E29:M29)+SUM(History!$L$23:$N$23))/History!$K$24)</f>
        <v>0.94406549302226</v>
      </c>
      <c r="N36" s="67" t="n">
        <f aca="false">IF(History!$L$24=0,0,(History!$L$24+SUM(ARR_Bridge!E26:N26)+SUM(History!$M$20:$N$20)+SUM(ARR_Bridge!E27:N27)+SUM(History!$M$21:$N$21)+SUM(ARR_Bridge!E28:N28)+SUM(History!$M$22:$N$22)+SUM(ARR_Bridge!E29:N29)+SUM(History!$M$23:$N$23))/History!$L$24)</f>
        <v>0.958149347379361</v>
      </c>
      <c r="O36" s="67" t="n">
        <f aca="false">IF(History!$M$24=0,0,(History!$M$24+SUM(ARR_Bridge!E26:O26)+SUM(History!$N$20:$N$20)+SUM(ARR_Bridge!E27:O27)+SUM(History!$N$21:$N$21)+SUM(ARR_Bridge!E28:O28)+SUM(History!$N$22:$N$22)+SUM(ARR_Bridge!E29:O29)+SUM(History!$N$23:$N$23))/History!$M$24)</f>
        <v>0.964726882451717</v>
      </c>
      <c r="P36" s="67" t="n">
        <f aca="false">IF(History!$N$24=0,0,(History!$N$24+SUM(ARR_Bridge!E26:P26)+SUM(ARR_Bridge!E27:P27)+SUM(ARR_Bridge!E28:P28)+SUM(ARR_Bridge!E29:P29))/History!$N$24)</f>
        <v>0.967711658938174</v>
      </c>
      <c r="Q36" s="67" t="n">
        <f aca="false">IF(E30=0,0,(E30+SUM(ARR_Bridge!F26:Q26)+SUM(ARR_Bridge!F27:Q27)+SUM(ARR_Bridge!F28:Q28)+SUM(ARR_Bridge!F29:Q29))/E30)</f>
        <v>0.977657061669526</v>
      </c>
      <c r="R36" s="67" t="n">
        <f aca="false">IF(F30=0,0,(F30+SUM(ARR_Bridge!G26:R26)+SUM(ARR_Bridge!G27:R27)+SUM(ARR_Bridge!G28:R28)+SUM(ARR_Bridge!G29:R29))/F30)</f>
        <v>0.989242155236946</v>
      </c>
      <c r="S36" s="67" t="n">
        <f aca="false">IF(G30=0,0,(G30+SUM(ARR_Bridge!H26:S26)+SUM(ARR_Bridge!H27:S27)+SUM(ARR_Bridge!H28:S28)+SUM(ARR_Bridge!H29:S29))/G30)</f>
        <v>1.00828227163189</v>
      </c>
      <c r="T36" s="67" t="n">
        <f aca="false">IF(H30=0,0,(H30+SUM(ARR_Bridge!I26:T26)+SUM(ARR_Bridge!I27:T27)+SUM(ARR_Bridge!I28:T28)+SUM(ARR_Bridge!I29:T29))/H30)</f>
        <v>1.00522459529533</v>
      </c>
      <c r="U36" s="67" t="n">
        <f aca="false">IF(I30=0,0,(I30+SUM(ARR_Bridge!J26:U26)+SUM(ARR_Bridge!J27:U27)+SUM(ARR_Bridge!J28:U28)+SUM(ARR_Bridge!J29:U29))/I30)</f>
        <v>1.01877014725416</v>
      </c>
      <c r="V36" s="67" t="n">
        <f aca="false">IF(J30=0,0,(J30+SUM(ARR_Bridge!K26:V26)+SUM(ARR_Bridge!K27:V27)+SUM(ARR_Bridge!K28:V28)+SUM(ARR_Bridge!K29:V29))/J30)</f>
        <v>1.0161614242468</v>
      </c>
      <c r="W36" s="67" t="n">
        <f aca="false">IF(K30=0,0,(K30+SUM(ARR_Bridge!L26:W26)+SUM(ARR_Bridge!L27:W27)+SUM(ARR_Bridge!L28:W28)+SUM(ARR_Bridge!L29:W29))/K30)</f>
        <v>1.01839184941886</v>
      </c>
      <c r="X36" s="67" t="n">
        <f aca="false">IF(L30=0,0,(L30+SUM(ARR_Bridge!M26:X26)+SUM(ARR_Bridge!M27:X27)+SUM(ARR_Bridge!M28:X28)+SUM(ARR_Bridge!M29:X29))/L30)</f>
        <v>1.02761036909982</v>
      </c>
      <c r="Y36" s="67" t="n">
        <f aca="false">IF(M30=0,0,(M30+SUM(ARR_Bridge!N26:Y26)+SUM(ARR_Bridge!N27:Y27)+SUM(ARR_Bridge!N28:Y28)+SUM(ARR_Bridge!N29:Y29))/M30)</f>
        <v>1.02567574159911</v>
      </c>
      <c r="Z36" s="67" t="n">
        <f aca="false">IF(N30=0,0,(N30+SUM(ARR_Bridge!O26:Z26)+SUM(ARR_Bridge!O27:Z27)+SUM(ARR_Bridge!O28:Z28)+SUM(ARR_Bridge!O29:Z29))/N30)</f>
        <v>1.02372461603547</v>
      </c>
      <c r="AA36" s="67" t="n">
        <f aca="false">IF(O30=0,0,(O30+SUM(ARR_Bridge!P26:AA26)+SUM(ARR_Bridge!P27:AA27)+SUM(ARR_Bridge!P28:AA28)+SUM(ARR_Bridge!P29:AA29))/O30)</f>
        <v>1.02437104581668</v>
      </c>
      <c r="AB36" s="67" t="n">
        <f aca="false">IF(P30=0,0,(P30+SUM(ARR_Bridge!Q26:AB26)+SUM(ARR_Bridge!Q27:AB27)+SUM(ARR_Bridge!Q28:AB28)+SUM(ARR_Bridge!Q29:AB29))/P30)</f>
        <v>1.02473830744987</v>
      </c>
    </row>
    <row r="37" customFormat="false" ht="15" hidden="false" customHeight="false" outlineLevel="0" collapsed="false">
      <c r="A37" s="28" t="s">
        <v>342</v>
      </c>
      <c r="B37" s="63" t="s">
        <v>741</v>
      </c>
      <c r="C37" s="66" t="n">
        <f aca="false">P37</f>
        <v>0.813205545227465</v>
      </c>
      <c r="D37" s="66" t="n">
        <f aca="false">AB37</f>
        <v>0.867051864880489</v>
      </c>
      <c r="E37" s="67" t="n">
        <f aca="false">IF(History!$C$24=0,0,(History!$C$24+SUM(ARR_Bridge!E28:E28)+SUM(History!$D$22:$N$22)+SUM(ARR_Bridge!E29:E29)+SUM(History!$D$23:$N$23))/History!$C$24)</f>
        <v>0.84182364221303</v>
      </c>
      <c r="F37" s="67" t="n">
        <f aca="false">IF(History!$D$24=0,0,(History!$D$24+SUM(ARR_Bridge!E28:F28)+SUM(History!$E$22:$N$22)+SUM(ARR_Bridge!E29:F29)+SUM(History!$E$23:$N$23))/History!$D$24)</f>
        <v>0.828905463009774</v>
      </c>
      <c r="G37" s="67" t="n">
        <f aca="false">IF(History!$E$24=0,0,(History!$E$24+SUM(ARR_Bridge!E28:G28)+SUM(History!$F$22:$N$22)+SUM(ARR_Bridge!E29:G29)+SUM(History!$F$23:$N$23))/History!$E$24)</f>
        <v>0.802630139322075</v>
      </c>
      <c r="H37" s="67" t="n">
        <f aca="false">IF(History!$F$24=0,0,(History!$F$24+SUM(ARR_Bridge!E28:H28)+SUM(History!$G$22:$N$22)+SUM(ARR_Bridge!E29:H29)+SUM(History!$G$23:$N$23))/History!$F$24)</f>
        <v>0.804942572015488</v>
      </c>
      <c r="I37" s="67" t="n">
        <f aca="false">IF(History!$G$24=0,0,(History!$G$24+SUM(ARR_Bridge!E28:I28)+SUM(History!$H$22:$N$22)+SUM(ARR_Bridge!E29:I29)+SUM(History!$H$23:$N$23))/History!$G$24)</f>
        <v>0.793027254412906</v>
      </c>
      <c r="J37" s="67" t="n">
        <f aca="false">IF(History!$H$24=0,0,(History!$H$24+SUM(ARR_Bridge!E28:J28)+SUM(History!$I$22:$N$22)+SUM(ARR_Bridge!E29:J29)+SUM(History!$I$23:$N$23))/History!$H$24)</f>
        <v>0.798097469328786</v>
      </c>
      <c r="K37" s="67" t="n">
        <f aca="false">IF(History!$I$24=0,0,(History!$I$24+SUM(ARR_Bridge!E28:K28)+SUM(History!$J$22:$N$22)+SUM(ARR_Bridge!E29:K29)+SUM(History!$J$23:$N$23))/History!$I$24)</f>
        <v>0.79718063035832</v>
      </c>
      <c r="L37" s="67" t="n">
        <f aca="false">IF(History!$J$24=0,0,(History!$J$24+SUM(ARR_Bridge!E28:L28)+SUM(History!$K$22:$N$22)+SUM(ARR_Bridge!E29:L29)+SUM(History!$K$23:$N$23))/History!$J$24)</f>
        <v>0.790439289313855</v>
      </c>
      <c r="M37" s="67" t="n">
        <f aca="false">IF(History!$K$24=0,0,(History!$K$24+SUM(ARR_Bridge!E28:M28)+SUM(History!$L$22:$N$22)+SUM(ARR_Bridge!E29:M29)+SUM(History!$L$23:$N$23))/History!$K$24)</f>
        <v>0.795341262482137</v>
      </c>
      <c r="N37" s="67" t="n">
        <f aca="false">IF(History!$L$24=0,0,(History!$L$24+SUM(ARR_Bridge!E28:N28)+SUM(History!$M$22:$N$22)+SUM(ARR_Bridge!E29:N29)+SUM(History!$M$23:$N$23))/History!$L$24)</f>
        <v>0.805188600580263</v>
      </c>
      <c r="O37" s="67" t="n">
        <f aca="false">IF(History!$M$24=0,0,(History!$M$24+SUM(ARR_Bridge!E28:O28)+SUM(History!$N$22:$N$22)+SUM(ARR_Bridge!E29:O29)+SUM(History!$N$23:$N$23))/History!$M$24)</f>
        <v>0.811341709430644</v>
      </c>
      <c r="P37" s="67" t="n">
        <f aca="false">IF(History!$N$24=0,0,(History!$N$24+SUM(ARR_Bridge!E28:P28)+SUM(ARR_Bridge!E29:P29))/History!$N$24)</f>
        <v>0.813205545227465</v>
      </c>
      <c r="Q37" s="67" t="n">
        <f aca="false">IF(E30=0,0,(E30+SUM(ARR_Bridge!F28:Q28)+SUM(ARR_Bridge!F29:Q29))/E30)</f>
        <v>0.823450438437196</v>
      </c>
      <c r="R37" s="67" t="n">
        <f aca="false">IF(F30=0,0,(F30+SUM(ARR_Bridge!G28:R28)+SUM(ARR_Bridge!G29:R29))/F30)</f>
        <v>0.83385057613094</v>
      </c>
      <c r="S37" s="67" t="n">
        <f aca="false">IF(G30=0,0,(G30+SUM(ARR_Bridge!H28:S28)+SUM(ARR_Bridge!H29:S29))/G30)</f>
        <v>0.850362894285772</v>
      </c>
      <c r="T37" s="67" t="n">
        <f aca="false">IF(H30=0,0,(H30+SUM(ARR_Bridge!I28:T28)+SUM(ARR_Bridge!I29:T29))/H30)</f>
        <v>0.847643922922819</v>
      </c>
      <c r="U37" s="67" t="n">
        <f aca="false">IF(I30=0,0,(I30+SUM(ARR_Bridge!J28:U28)+SUM(ARR_Bridge!J29:U29))/I30)</f>
        <v>0.858290605310776</v>
      </c>
      <c r="V37" s="67" t="n">
        <f aca="false">IF(J30=0,0,(J30+SUM(ARR_Bridge!K28:V28)+SUM(ARR_Bridge!K29:V29))/J30)</f>
        <v>0.858301224289245</v>
      </c>
      <c r="W37" s="67" t="n">
        <f aca="false">IF(K30=0,0,(K30+SUM(ARR_Bridge!L28:W28)+SUM(ARR_Bridge!L29:W29))/K30)</f>
        <v>0.859847346273027</v>
      </c>
      <c r="X37" s="67" t="n">
        <f aca="false">IF(L30=0,0,(L30+SUM(ARR_Bridge!M28:X28)+SUM(ARR_Bridge!M29:X29))/L30)</f>
        <v>0.868146974820412</v>
      </c>
      <c r="Y37" s="67" t="n">
        <f aca="false">IF(M30=0,0,(M30+SUM(ARR_Bridge!N28:Y28)+SUM(ARR_Bridge!N29:Y29))/M30)</f>
        <v>0.866964010198086</v>
      </c>
      <c r="Z37" s="67" t="n">
        <f aca="false">IF(N30=0,0,(N30+SUM(ARR_Bridge!O28:Z28)+SUM(ARR_Bridge!O29:Z29))/N30)</f>
        <v>0.86588543063609</v>
      </c>
      <c r="AA37" s="67" t="n">
        <f aca="false">IF(O30=0,0,(O30+SUM(ARR_Bridge!P28:AA28)+SUM(ARR_Bridge!P29:AA29))/O30)</f>
        <v>0.866626067974449</v>
      </c>
      <c r="AB37" s="67" t="n">
        <f aca="false">IF(P30=0,0,(P30+SUM(ARR_Bridge!Q28:AB28)+SUM(ARR_Bridge!Q29:AB29))/P30)</f>
        <v>0.867051864880489</v>
      </c>
    </row>
    <row r="38" customFormat="false" ht="15" hidden="false" customHeight="false" outlineLevel="0" collapsed="false">
      <c r="A38" s="22" t="s">
        <v>743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row>
    <row r="39" customFormat="false" ht="15" hidden="false" customHeight="false" outlineLevel="0" collapsed="false">
      <c r="A39" s="28" t="s">
        <v>731</v>
      </c>
      <c r="B39" s="63"/>
      <c r="E39" s="65" t="n">
        <f aca="false">Enterprise!E105</f>
        <v>133828.86</v>
      </c>
      <c r="F39" s="65" t="n">
        <f aca="false">Enterprise!F105</f>
        <v>136166.76</v>
      </c>
      <c r="G39" s="65" t="n">
        <f aca="false">Enterprise!G105</f>
        <v>129278.44</v>
      </c>
      <c r="H39" s="65" t="n">
        <f aca="false">Enterprise!H105</f>
        <v>131583.25</v>
      </c>
      <c r="I39" s="65" t="n">
        <f aca="false">Enterprise!I105</f>
        <v>143348.3</v>
      </c>
      <c r="J39" s="65" t="n">
        <f aca="false">Enterprise!J105</f>
        <v>145028.7</v>
      </c>
      <c r="K39" s="65" t="n">
        <f aca="false">Enterprise!K105</f>
        <v>146087.19</v>
      </c>
      <c r="L39" s="65" t="n">
        <f aca="false">Enterprise!L105</f>
        <v>152311.25</v>
      </c>
      <c r="M39" s="65" t="n">
        <f aca="false">Enterprise!M105</f>
        <v>152311.25</v>
      </c>
      <c r="N39" s="65" t="n">
        <f aca="false">Enterprise!N105</f>
        <v>152476.30100764</v>
      </c>
      <c r="O39" s="65" t="n">
        <f aca="false">Enterprise!O105</f>
        <v>152445.14903844</v>
      </c>
      <c r="P39" s="65" t="n">
        <f aca="false">Enterprise!P105</f>
        <v>156772.84863704</v>
      </c>
      <c r="Q39" s="65" t="n">
        <f aca="false">Enterprise!Q105</f>
        <v>161272.84863704</v>
      </c>
      <c r="R39" s="65" t="n">
        <f aca="false">Enterprise!R105</f>
        <v>161864.01254254</v>
      </c>
      <c r="S39" s="65" t="n">
        <f aca="false">Enterprise!S105</f>
        <v>164564.01254254</v>
      </c>
      <c r="T39" s="65" t="n">
        <f aca="false">Enterprise!T105</f>
        <v>167990.73787769</v>
      </c>
      <c r="U39" s="65" t="n">
        <f aca="false">Enterprise!U105</f>
        <v>171343.27573849</v>
      </c>
      <c r="V39" s="65" t="n">
        <f aca="false">Enterprise!V105</f>
        <v>171494.07241825</v>
      </c>
      <c r="W39" s="65" t="n">
        <f aca="false">Enterprise!W105</f>
        <v>175237.43135429</v>
      </c>
      <c r="X39" s="65" t="n">
        <f aca="false">Enterprise!X105</f>
        <v>179050.93564197</v>
      </c>
      <c r="Y39" s="65" t="n">
        <f aca="false">Enterprise!Y105</f>
        <v>182725.93564197</v>
      </c>
      <c r="Z39" s="65" t="n">
        <f aca="false">Enterprise!Z105</f>
        <v>186570.980931254</v>
      </c>
      <c r="AA39" s="65" t="n">
        <f aca="false">Enterprise!AA105</f>
        <v>190214.946841106</v>
      </c>
      <c r="AB39" s="65" t="n">
        <f aca="false">Enterprise!AB105</f>
        <v>194024.203641923</v>
      </c>
    </row>
    <row r="40" customFormat="false" ht="15" hidden="false" customHeight="false" outlineLevel="0" collapsed="false">
      <c r="A40" s="28" t="s">
        <v>732</v>
      </c>
      <c r="B40" s="63" t="s">
        <v>56</v>
      </c>
      <c r="C40" s="64" t="n">
        <f aca="false">SUM(E40:P40)</f>
        <v>26120</v>
      </c>
      <c r="D40" s="64" t="n">
        <f aca="false">SUM(Q40:AB40)</f>
        <v>37470</v>
      </c>
      <c r="E40" s="65" t="n">
        <f aca="false">Enterprise!E106</f>
        <v>0</v>
      </c>
      <c r="F40" s="65" t="n">
        <f aca="false">Enterprise!F106</f>
        <v>0</v>
      </c>
      <c r="G40" s="65" t="n">
        <f aca="false">Enterprise!G106</f>
        <v>0</v>
      </c>
      <c r="H40" s="65" t="n">
        <f aca="false">Enterprise!H106</f>
        <v>11500</v>
      </c>
      <c r="I40" s="65" t="n">
        <f aca="false">Enterprise!I106</f>
        <v>0</v>
      </c>
      <c r="J40" s="65" t="n">
        <f aca="false">Enterprise!J106</f>
        <v>0</v>
      </c>
      <c r="K40" s="65" t="n">
        <f aca="false">Enterprise!K106</f>
        <v>5800</v>
      </c>
      <c r="L40" s="65" t="n">
        <f aca="false">Enterprise!L106</f>
        <v>0</v>
      </c>
      <c r="M40" s="65" t="n">
        <f aca="false">Enterprise!M106</f>
        <v>0</v>
      </c>
      <c r="N40" s="65" t="n">
        <f aca="false">Enterprise!N106</f>
        <v>0</v>
      </c>
      <c r="O40" s="65" t="n">
        <f aca="false">Enterprise!O106</f>
        <v>4320</v>
      </c>
      <c r="P40" s="65" t="n">
        <f aca="false">Enterprise!P106</f>
        <v>4500</v>
      </c>
      <c r="Q40" s="65" t="n">
        <f aca="false">Enterprise!Q106</f>
        <v>2925</v>
      </c>
      <c r="R40" s="65" t="n">
        <f aca="false">Enterprise!R106</f>
        <v>2700</v>
      </c>
      <c r="S40" s="65" t="n">
        <f aca="false">Enterprise!S106</f>
        <v>3120</v>
      </c>
      <c r="T40" s="65" t="n">
        <f aca="false">Enterprise!T106</f>
        <v>3000</v>
      </c>
      <c r="U40" s="65" t="n">
        <f aca="false">Enterprise!U106</f>
        <v>0</v>
      </c>
      <c r="V40" s="65" t="n">
        <f aca="false">Enterprise!V106</f>
        <v>3675</v>
      </c>
      <c r="W40" s="65" t="n">
        <f aca="false">Enterprise!W106</f>
        <v>3675</v>
      </c>
      <c r="X40" s="65" t="n">
        <f aca="false">Enterprise!X106</f>
        <v>3675</v>
      </c>
      <c r="Y40" s="65" t="n">
        <f aca="false">Enterprise!Y106</f>
        <v>3675</v>
      </c>
      <c r="Z40" s="65" t="n">
        <f aca="false">Enterprise!Z106</f>
        <v>3675</v>
      </c>
      <c r="AA40" s="65" t="n">
        <f aca="false">Enterprise!AA106</f>
        <v>3675</v>
      </c>
      <c r="AB40" s="65" t="n">
        <f aca="false">Enterprise!AB106</f>
        <v>3675</v>
      </c>
    </row>
    <row r="41" customFormat="false" ht="15" hidden="false" customHeight="false" outlineLevel="0" collapsed="false">
      <c r="A41" s="28" t="s">
        <v>733</v>
      </c>
      <c r="B41" s="63" t="s">
        <v>56</v>
      </c>
      <c r="C41" s="64" t="n">
        <f aca="false">SUM(E41:P41)</f>
        <v>7564.29944004</v>
      </c>
      <c r="D41" s="64" t="n">
        <f aca="false">SUM(Q41:AB41)</f>
        <v>6953.43797659664</v>
      </c>
      <c r="E41" s="65" t="n">
        <f aca="false">Enterprise!E108</f>
        <v>1522.91</v>
      </c>
      <c r="F41" s="65" t="n">
        <f aca="false">Enterprise!F108</f>
        <v>0</v>
      </c>
      <c r="G41" s="65" t="n">
        <f aca="false">Enterprise!G108</f>
        <v>1685.44</v>
      </c>
      <c r="H41" s="65" t="n">
        <f aca="false">Enterprise!H108</f>
        <v>112.13</v>
      </c>
      <c r="I41" s="65" t="n">
        <f aca="false">Enterprise!I108</f>
        <v>1358.75</v>
      </c>
      <c r="J41" s="65" t="n">
        <f aca="false">Enterprise!J108</f>
        <v>664.82</v>
      </c>
      <c r="K41" s="65" t="n">
        <f aca="false">Enterprise!K108</f>
        <v>280.06</v>
      </c>
      <c r="L41" s="65" t="n">
        <f aca="false">Enterprise!L108</f>
        <v>0</v>
      </c>
      <c r="M41" s="65" t="n">
        <f aca="false">Enterprise!M108</f>
        <v>897.61779564</v>
      </c>
      <c r="N41" s="65" t="n">
        <f aca="false">Enterprise!N108</f>
        <v>315.4383858</v>
      </c>
      <c r="O41" s="65" t="n">
        <f aca="false">Enterprise!O108</f>
        <v>727.1332586</v>
      </c>
      <c r="P41" s="65" t="n">
        <f aca="false">Enterprise!P108</f>
        <v>0</v>
      </c>
      <c r="Q41" s="65" t="n">
        <f aca="false">Enterprise!Q108</f>
        <v>1348.5839955</v>
      </c>
      <c r="R41" s="65" t="n">
        <f aca="false">Enterprise!R108</f>
        <v>0</v>
      </c>
      <c r="S41" s="65" t="n">
        <f aca="false">Enterprise!S108</f>
        <v>1009.20173015</v>
      </c>
      <c r="T41" s="65" t="n">
        <f aca="false">Enterprise!T108</f>
        <v>770.3105908</v>
      </c>
      <c r="U41" s="65" t="n">
        <f aca="false">Enterprise!U108</f>
        <v>526.09741776</v>
      </c>
      <c r="V41" s="65" t="n">
        <f aca="false">Enterprise!V108</f>
        <v>492.66874304</v>
      </c>
      <c r="W41" s="65" t="n">
        <f aca="false">Enterprise!W108</f>
        <v>429.32939568</v>
      </c>
      <c r="X41" s="65" t="n">
        <f aca="false">Enterprise!X108</f>
        <v>0</v>
      </c>
      <c r="Y41" s="65" t="n">
        <f aca="false">Enterprise!Y108</f>
        <v>905.341649994056</v>
      </c>
      <c r="Z41" s="65" t="n">
        <f aca="false">Enterprise!Z108</f>
        <v>314.244766948133</v>
      </c>
      <c r="AA41" s="65" t="n">
        <f aca="false">Enterprise!AA108</f>
        <v>937.497186724454</v>
      </c>
      <c r="AB41" s="65" t="n">
        <f aca="false">Enterprise!AB108</f>
        <v>220.1625</v>
      </c>
    </row>
    <row r="42" customFormat="false" ht="15" hidden="false" customHeight="false" outlineLevel="0" collapsed="false">
      <c r="A42" s="28" t="s">
        <v>734</v>
      </c>
      <c r="B42" s="63" t="s">
        <v>56</v>
      </c>
      <c r="C42" s="64" t="n">
        <f aca="false">SUM(E42:P42)</f>
        <v>3716.179297</v>
      </c>
      <c r="D42" s="64" t="n">
        <f aca="false">SUM(Q42:AB42)</f>
        <v>4467.93722811629</v>
      </c>
      <c r="E42" s="65" t="n">
        <f aca="false">Enterprise!E110</f>
        <v>814.99</v>
      </c>
      <c r="F42" s="65" t="n">
        <f aca="false">Enterprise!F110</f>
        <v>0</v>
      </c>
      <c r="G42" s="65" t="n">
        <f aca="false">Enterprise!G110</f>
        <v>619.37</v>
      </c>
      <c r="H42" s="65" t="n">
        <f aca="false">Enterprise!H110</f>
        <v>152.92</v>
      </c>
      <c r="I42" s="65" t="n">
        <f aca="false">Enterprise!I110</f>
        <v>321.65</v>
      </c>
      <c r="J42" s="65" t="n">
        <f aca="false">Enterprise!J110</f>
        <v>393.67</v>
      </c>
      <c r="K42" s="65" t="n">
        <f aca="false">Enterprise!K110</f>
        <v>144</v>
      </c>
      <c r="L42" s="65" t="n">
        <f aca="false">Enterprise!L110</f>
        <v>0</v>
      </c>
      <c r="M42" s="65" t="n">
        <f aca="false">Enterprise!M110</f>
        <v>555.862812</v>
      </c>
      <c r="N42" s="65" t="n">
        <f aca="false">Enterprise!N110</f>
        <v>229.688145</v>
      </c>
      <c r="O42" s="65" t="n">
        <f aca="false">Enterprise!O110</f>
        <v>484.02834</v>
      </c>
      <c r="P42" s="65" t="n">
        <f aca="false">Enterprise!P110</f>
        <v>0</v>
      </c>
      <c r="Q42" s="65" t="n">
        <f aca="false">Enterprise!Q110</f>
        <v>785.58291</v>
      </c>
      <c r="R42" s="65" t="n">
        <f aca="false">Enterprise!R110</f>
        <v>0</v>
      </c>
      <c r="S42" s="65" t="n">
        <f aca="false">Enterprise!S110</f>
        <v>645.090105</v>
      </c>
      <c r="T42" s="65" t="n">
        <f aca="false">Enterprise!T110</f>
        <v>478.96827</v>
      </c>
      <c r="U42" s="65" t="n">
        <f aca="false">Enterprise!U110</f>
        <v>332.813862</v>
      </c>
      <c r="V42" s="65" t="n">
        <f aca="false">Enterprise!V110</f>
        <v>387.567093</v>
      </c>
      <c r="W42" s="65" t="n">
        <f aca="false">Enterprise!W110</f>
        <v>312.618492</v>
      </c>
      <c r="X42" s="65" t="n">
        <f aca="false">Enterprise!X110</f>
        <v>0</v>
      </c>
      <c r="Y42" s="65" t="n">
        <f aca="false">Enterprise!Y110</f>
        <v>560.590620784368</v>
      </c>
      <c r="Z42" s="65" t="n">
        <f aca="false">Enterprise!Z110</f>
        <v>228.81900505932</v>
      </c>
      <c r="AA42" s="65" t="n">
        <f aca="false">Enterprise!AA110</f>
        <v>607.6368702726</v>
      </c>
      <c r="AB42" s="65" t="n">
        <f aca="false">Enterprise!AB110</f>
        <v>128.25</v>
      </c>
    </row>
    <row r="43" customFormat="false" ht="15" hidden="false" customHeight="false" outlineLevel="0" collapsed="false">
      <c r="A43" s="28" t="s">
        <v>735</v>
      </c>
      <c r="B43" s="63" t="s">
        <v>56</v>
      </c>
      <c r="C43" s="64" t="n">
        <f aca="false">SUM(E43:P43)</f>
        <v>0</v>
      </c>
      <c r="D43" s="64" t="n">
        <f aca="false">SUM(Q43:AB43)</f>
        <v>0</v>
      </c>
      <c r="E43" s="65" t="n">
        <f aca="false">Enterprise!E109</f>
        <v>-0</v>
      </c>
      <c r="F43" s="65" t="n">
        <f aca="false">Enterprise!F109</f>
        <v>-0</v>
      </c>
      <c r="G43" s="65" t="n">
        <f aca="false">Enterprise!G109</f>
        <v>-0</v>
      </c>
      <c r="H43" s="65" t="n">
        <f aca="false">Enterprise!H109</f>
        <v>-0</v>
      </c>
      <c r="I43" s="65" t="n">
        <f aca="false">Enterprise!I109</f>
        <v>-0</v>
      </c>
      <c r="J43" s="65" t="n">
        <f aca="false">Enterprise!J109</f>
        <v>-0</v>
      </c>
      <c r="K43" s="65" t="n">
        <f aca="false">Enterprise!K109</f>
        <v>-0</v>
      </c>
      <c r="L43" s="65" t="n">
        <f aca="false">Enterprise!L109</f>
        <v>-0</v>
      </c>
      <c r="M43" s="65" t="n">
        <f aca="false">Enterprise!M109</f>
        <v>0</v>
      </c>
      <c r="N43" s="65" t="n">
        <f aca="false">Enterprise!N109</f>
        <v>0</v>
      </c>
      <c r="O43" s="65" t="n">
        <f aca="false">Enterprise!O109</f>
        <v>0</v>
      </c>
      <c r="P43" s="65" t="n">
        <f aca="false">Enterprise!P109</f>
        <v>0</v>
      </c>
      <c r="Q43" s="65" t="n">
        <f aca="false">Enterprise!Q109</f>
        <v>0</v>
      </c>
      <c r="R43" s="65" t="n">
        <f aca="false">Enterprise!R109</f>
        <v>0</v>
      </c>
      <c r="S43" s="65" t="n">
        <f aca="false">Enterprise!S109</f>
        <v>0</v>
      </c>
      <c r="T43" s="65" t="n">
        <f aca="false">Enterprise!T109</f>
        <v>0</v>
      </c>
      <c r="U43" s="65" t="n">
        <f aca="false">Enterprise!U109</f>
        <v>0</v>
      </c>
      <c r="V43" s="65" t="n">
        <f aca="false">Enterprise!V109</f>
        <v>0</v>
      </c>
      <c r="W43" s="65" t="n">
        <f aca="false">Enterprise!W109</f>
        <v>0</v>
      </c>
      <c r="X43" s="65" t="n">
        <f aca="false">Enterprise!X109</f>
        <v>0</v>
      </c>
      <c r="Y43" s="65" t="n">
        <f aca="false">Enterprise!Y109</f>
        <v>0</v>
      </c>
      <c r="Z43" s="65" t="n">
        <f aca="false">Enterprise!Z109</f>
        <v>0</v>
      </c>
      <c r="AA43" s="65" t="n">
        <f aca="false">Enterprise!AA109</f>
        <v>0</v>
      </c>
      <c r="AB43" s="65" t="n">
        <f aca="false">Enterprise!AB109</f>
        <v>0</v>
      </c>
    </row>
    <row r="44" customFormat="false" ht="15" hidden="false" customHeight="false" outlineLevel="0" collapsed="false">
      <c r="A44" s="28" t="s">
        <v>736</v>
      </c>
      <c r="B44" s="63" t="s">
        <v>56</v>
      </c>
      <c r="C44" s="64" t="n">
        <f aca="false">SUM(E44:P44)</f>
        <v>-9956.4901</v>
      </c>
      <c r="D44" s="64" t="n">
        <f aca="false">SUM(Q44:AB44)</f>
        <v>-12341.6076998304</v>
      </c>
      <c r="E44" s="65" t="n">
        <f aca="false">Enterprise!E107</f>
        <v>-0</v>
      </c>
      <c r="F44" s="65" t="n">
        <f aca="false">Enterprise!F107</f>
        <v>-6888.32</v>
      </c>
      <c r="G44" s="65" t="n">
        <f aca="false">Enterprise!G107</f>
        <v>-0</v>
      </c>
      <c r="H44" s="65" t="n">
        <f aca="false">Enterprise!H107</f>
        <v>-0</v>
      </c>
      <c r="I44" s="65" t="n">
        <f aca="false">Enterprise!I107</f>
        <v>-0</v>
      </c>
      <c r="J44" s="65" t="n">
        <f aca="false">Enterprise!J107</f>
        <v>-0</v>
      </c>
      <c r="K44" s="65" t="n">
        <f aca="false">Enterprise!K107</f>
        <v>-0</v>
      </c>
      <c r="L44" s="65" t="n">
        <f aca="false">Enterprise!L107</f>
        <v>-0</v>
      </c>
      <c r="M44" s="65" t="n">
        <f aca="false">Enterprise!M107</f>
        <v>-1288.4296</v>
      </c>
      <c r="N44" s="65" t="n">
        <f aca="false">Enterprise!N107</f>
        <v>-576.2785</v>
      </c>
      <c r="O44" s="65" t="n">
        <f aca="false">Enterprise!O107</f>
        <v>-1203.462</v>
      </c>
      <c r="P44" s="65" t="n">
        <f aca="false">Enterprise!P107</f>
        <v>-0</v>
      </c>
      <c r="Q44" s="65" t="n">
        <f aca="false">Enterprise!Q107</f>
        <v>-4468.003</v>
      </c>
      <c r="R44" s="65" t="n">
        <f aca="false">Enterprise!R107</f>
        <v>-0</v>
      </c>
      <c r="S44" s="65" t="n">
        <f aca="false">Enterprise!S107</f>
        <v>-1347.5665</v>
      </c>
      <c r="T44" s="65" t="n">
        <f aca="false">Enterprise!T107</f>
        <v>-896.741000000001</v>
      </c>
      <c r="U44" s="65" t="n">
        <f aca="false">Enterprise!U107</f>
        <v>-708.114600000001</v>
      </c>
      <c r="V44" s="65" t="n">
        <f aca="false">Enterprise!V107</f>
        <v>-811.8769</v>
      </c>
      <c r="W44" s="65" t="n">
        <f aca="false">Enterprise!W107</f>
        <v>-603.443600000001</v>
      </c>
      <c r="X44" s="65" t="n">
        <f aca="false">Enterprise!X107</f>
        <v>-0</v>
      </c>
      <c r="Y44" s="65" t="n">
        <f aca="false">Enterprise!Y107</f>
        <v>-1295.8869814944</v>
      </c>
      <c r="Z44" s="65" t="n">
        <f aca="false">Enterprise!Z107</f>
        <v>-574.097862156</v>
      </c>
      <c r="AA44" s="65" t="n">
        <f aca="false">Enterprise!AA107</f>
        <v>-1410.87725618</v>
      </c>
      <c r="AB44" s="65" t="n">
        <f aca="false">Enterprise!AB107</f>
        <v>-225</v>
      </c>
    </row>
    <row r="45" customFormat="false" ht="15" hidden="false" customHeight="false" outlineLevel="0" collapsed="false">
      <c r="A45" s="59" t="s">
        <v>737</v>
      </c>
      <c r="B45" s="60"/>
      <c r="C45" s="61" t="n">
        <f aca="false">P45</f>
        <v>161272.84863704</v>
      </c>
      <c r="D45" s="61" t="n">
        <f aca="false">AB45</f>
        <v>197822.616141923</v>
      </c>
      <c r="E45" s="62" t="n">
        <f aca="false">Enterprise!E39</f>
        <v>136166.76</v>
      </c>
      <c r="F45" s="62" t="n">
        <f aca="false">Enterprise!F39</f>
        <v>129278.44</v>
      </c>
      <c r="G45" s="62" t="n">
        <f aca="false">Enterprise!G39</f>
        <v>131583.25</v>
      </c>
      <c r="H45" s="62" t="n">
        <f aca="false">Enterprise!H39</f>
        <v>143348.3</v>
      </c>
      <c r="I45" s="62" t="n">
        <f aca="false">Enterprise!I39</f>
        <v>145028.7</v>
      </c>
      <c r="J45" s="62" t="n">
        <f aca="false">Enterprise!J39</f>
        <v>146087.19</v>
      </c>
      <c r="K45" s="62" t="n">
        <f aca="false">Enterprise!K39</f>
        <v>152311.25</v>
      </c>
      <c r="L45" s="62" t="n">
        <f aca="false">Enterprise!L39</f>
        <v>152311.25</v>
      </c>
      <c r="M45" s="62" t="n">
        <f aca="false">Enterprise!M39</f>
        <v>152476.30100764</v>
      </c>
      <c r="N45" s="62" t="n">
        <f aca="false">Enterprise!N39</f>
        <v>152445.14903844</v>
      </c>
      <c r="O45" s="62" t="n">
        <f aca="false">Enterprise!O39</f>
        <v>156772.84863704</v>
      </c>
      <c r="P45" s="62" t="n">
        <f aca="false">Enterprise!P39</f>
        <v>161272.84863704</v>
      </c>
      <c r="Q45" s="62" t="n">
        <f aca="false">Enterprise!Q39</f>
        <v>161864.01254254</v>
      </c>
      <c r="R45" s="62" t="n">
        <f aca="false">Enterprise!R39</f>
        <v>164564.01254254</v>
      </c>
      <c r="S45" s="62" t="n">
        <f aca="false">Enterprise!S39</f>
        <v>167990.73787769</v>
      </c>
      <c r="T45" s="62" t="n">
        <f aca="false">Enterprise!T39</f>
        <v>171343.27573849</v>
      </c>
      <c r="U45" s="62" t="n">
        <f aca="false">Enterprise!U39</f>
        <v>171494.07241825</v>
      </c>
      <c r="V45" s="62" t="n">
        <f aca="false">Enterprise!V39</f>
        <v>175237.43135429</v>
      </c>
      <c r="W45" s="62" t="n">
        <f aca="false">Enterprise!W39</f>
        <v>179050.93564197</v>
      </c>
      <c r="X45" s="62" t="n">
        <f aca="false">Enterprise!X39</f>
        <v>182725.93564197</v>
      </c>
      <c r="Y45" s="62" t="n">
        <f aca="false">Enterprise!Y39</f>
        <v>186570.980931254</v>
      </c>
      <c r="Z45" s="62" t="n">
        <f aca="false">Enterprise!Z39</f>
        <v>190214.946841106</v>
      </c>
      <c r="AA45" s="62" t="n">
        <f aca="false">Enterprise!AA39</f>
        <v>194024.203641923</v>
      </c>
      <c r="AB45" s="62" t="n">
        <f aca="false">Enterprise!AB39</f>
        <v>197822.616141923</v>
      </c>
    </row>
    <row r="46" customFormat="false" ht="15" hidden="false" customHeight="false" outlineLevel="0" collapsed="false">
      <c r="A46" s="28" t="s">
        <v>738</v>
      </c>
      <c r="B46" s="63"/>
      <c r="C46" s="64" t="n">
        <f aca="false">P46</f>
        <v>1935274.18364448</v>
      </c>
      <c r="D46" s="64" t="n">
        <f aca="false">AB46</f>
        <v>2373871.39370307</v>
      </c>
      <c r="E46" s="74" t="n">
        <f aca="false">12*E45</f>
        <v>1634001.12</v>
      </c>
      <c r="F46" s="74" t="n">
        <f aca="false">12*F45</f>
        <v>1551341.28</v>
      </c>
      <c r="G46" s="74" t="n">
        <f aca="false">12*G45</f>
        <v>1578999</v>
      </c>
      <c r="H46" s="74" t="n">
        <f aca="false">12*H45</f>
        <v>1720179.6</v>
      </c>
      <c r="I46" s="74" t="n">
        <f aca="false">12*I45</f>
        <v>1740344.4</v>
      </c>
      <c r="J46" s="74" t="n">
        <f aca="false">12*J45</f>
        <v>1753046.28</v>
      </c>
      <c r="K46" s="74" t="n">
        <f aca="false">12*K45</f>
        <v>1827735</v>
      </c>
      <c r="L46" s="74" t="n">
        <f aca="false">12*L45</f>
        <v>1827735</v>
      </c>
      <c r="M46" s="74" t="n">
        <f aca="false">12*M45</f>
        <v>1829715.61209168</v>
      </c>
      <c r="N46" s="74" t="n">
        <f aca="false">12*N45</f>
        <v>1829341.78846128</v>
      </c>
      <c r="O46" s="74" t="n">
        <f aca="false">12*O45</f>
        <v>1881274.18364448</v>
      </c>
      <c r="P46" s="74" t="n">
        <f aca="false">12*P45</f>
        <v>1935274.18364448</v>
      </c>
      <c r="Q46" s="74" t="n">
        <f aca="false">12*Q45</f>
        <v>1942368.15051048</v>
      </c>
      <c r="R46" s="74" t="n">
        <f aca="false">12*R45</f>
        <v>1974768.15051048</v>
      </c>
      <c r="S46" s="74" t="n">
        <f aca="false">12*S45</f>
        <v>2015888.85453228</v>
      </c>
      <c r="T46" s="74" t="n">
        <f aca="false">12*T45</f>
        <v>2056119.30886188</v>
      </c>
      <c r="U46" s="74" t="n">
        <f aca="false">12*U45</f>
        <v>2057928.869019</v>
      </c>
      <c r="V46" s="74" t="n">
        <f aca="false">12*V45</f>
        <v>2102849.17625148</v>
      </c>
      <c r="W46" s="74" t="n">
        <f aca="false">12*W45</f>
        <v>2148611.22770364</v>
      </c>
      <c r="X46" s="74" t="n">
        <f aca="false">12*X45</f>
        <v>2192711.22770364</v>
      </c>
      <c r="Y46" s="74" t="n">
        <f aca="false">12*Y45</f>
        <v>2238851.77117505</v>
      </c>
      <c r="Z46" s="74" t="n">
        <f aca="false">12*Z45</f>
        <v>2282579.36209327</v>
      </c>
      <c r="AA46" s="74" t="n">
        <f aca="false">12*AA45</f>
        <v>2328290.44370307</v>
      </c>
      <c r="AB46" s="74" t="n">
        <f aca="false">12*AB45</f>
        <v>2373871.39370307</v>
      </c>
    </row>
    <row r="47" customFormat="false" ht="15" hidden="false" customHeight="false" outlineLevel="0" collapsed="false">
      <c r="A47" s="28" t="s">
        <v>340</v>
      </c>
      <c r="B47" s="63"/>
      <c r="C47" s="68" t="n">
        <f aca="false">P47</f>
        <v>21.64</v>
      </c>
      <c r="D47" s="68" t="n">
        <f aca="false">AB47</f>
        <v>25.4974</v>
      </c>
      <c r="E47" s="69" t="n">
        <f aca="false">Enterprise!E70</f>
        <v>20</v>
      </c>
      <c r="F47" s="69" t="n">
        <f aca="false">Enterprise!F70</f>
        <v>19</v>
      </c>
      <c r="G47" s="69" t="n">
        <f aca="false">Enterprise!G70</f>
        <v>19</v>
      </c>
      <c r="H47" s="69" t="n">
        <f aca="false">Enterprise!H70</f>
        <v>20</v>
      </c>
      <c r="I47" s="69" t="n">
        <f aca="false">Enterprise!I70</f>
        <v>20</v>
      </c>
      <c r="J47" s="69" t="n">
        <f aca="false">Enterprise!J70</f>
        <v>20</v>
      </c>
      <c r="K47" s="69" t="n">
        <f aca="false">Enterprise!K70</f>
        <v>21</v>
      </c>
      <c r="L47" s="69" t="n">
        <f aca="false">Enterprise!L70</f>
        <v>21</v>
      </c>
      <c r="M47" s="69" t="n">
        <f aca="false">Enterprise!M70</f>
        <v>20.81</v>
      </c>
      <c r="N47" s="69" t="n">
        <f aca="false">Enterprise!N70</f>
        <v>20.74</v>
      </c>
      <c r="O47" s="69" t="n">
        <f aca="false">Enterprise!O70</f>
        <v>21.14</v>
      </c>
      <c r="P47" s="69" t="n">
        <f aca="false">Enterprise!P70</f>
        <v>21.64</v>
      </c>
      <c r="Q47" s="69" t="n">
        <f aca="false">Enterprise!Q70</f>
        <v>21.74</v>
      </c>
      <c r="R47" s="69" t="n">
        <f aca="false">Enterprise!R70</f>
        <v>22.24</v>
      </c>
      <c r="S47" s="69" t="n">
        <f aca="false">Enterprise!S70</f>
        <v>22.45</v>
      </c>
      <c r="T47" s="69" t="n">
        <f aca="false">Enterprise!T70</f>
        <v>22.84</v>
      </c>
      <c r="U47" s="69" t="n">
        <f aca="false">Enterprise!U70</f>
        <v>22.72</v>
      </c>
      <c r="V47" s="69" t="n">
        <f aca="false">Enterprise!V70</f>
        <v>23.09</v>
      </c>
      <c r="W47" s="69" t="n">
        <f aca="false">Enterprise!W70</f>
        <v>23.48</v>
      </c>
      <c r="X47" s="69" t="n">
        <f aca="false">Enterprise!X70</f>
        <v>23.98</v>
      </c>
      <c r="Y47" s="69" t="n">
        <f aca="false">Enterprise!Y70</f>
        <v>24.3025</v>
      </c>
      <c r="Z47" s="69" t="n">
        <f aca="false">Enterprise!Z70</f>
        <v>24.7374</v>
      </c>
      <c r="AA47" s="69" t="n">
        <f aca="false">Enterprise!AA70</f>
        <v>25.0224</v>
      </c>
      <c r="AB47" s="69" t="n">
        <f aca="false">Enterprise!AB70</f>
        <v>25.4974</v>
      </c>
    </row>
    <row r="48" customFormat="false" ht="15" hidden="false" customHeight="false" outlineLevel="0" collapsed="false">
      <c r="A48" s="28" t="s">
        <v>739</v>
      </c>
      <c r="B48" s="63"/>
      <c r="C48" s="68" t="n">
        <f aca="false">SUM(E48:P48)</f>
        <v>3.1</v>
      </c>
      <c r="D48" s="68" t="n">
        <f aca="false">SUM(Q48:AB48)</f>
        <v>5.35</v>
      </c>
      <c r="E48" s="69" t="n">
        <f aca="false">Enterprise!E113</f>
        <v>0</v>
      </c>
      <c r="F48" s="69" t="n">
        <f aca="false">Enterprise!F113</f>
        <v>0</v>
      </c>
      <c r="G48" s="69" t="n">
        <f aca="false">Enterprise!G113</f>
        <v>0</v>
      </c>
      <c r="H48" s="69" t="n">
        <f aca="false">Enterprise!H113</f>
        <v>1</v>
      </c>
      <c r="I48" s="69" t="n">
        <f aca="false">Enterprise!I113</f>
        <v>0</v>
      </c>
      <c r="J48" s="69" t="n">
        <f aca="false">Enterprise!J113</f>
        <v>0</v>
      </c>
      <c r="K48" s="69" t="n">
        <f aca="false">Enterprise!K113</f>
        <v>1</v>
      </c>
      <c r="L48" s="69" t="n">
        <f aca="false">Enterprise!L113</f>
        <v>0</v>
      </c>
      <c r="M48" s="69" t="n">
        <f aca="false">Enterprise!M113</f>
        <v>0</v>
      </c>
      <c r="N48" s="69" t="n">
        <f aca="false">Enterprise!N113</f>
        <v>0</v>
      </c>
      <c r="O48" s="69" t="n">
        <f aca="false">Enterprise!O113</f>
        <v>0.6</v>
      </c>
      <c r="P48" s="69" t="n">
        <f aca="false">Enterprise!P113</f>
        <v>0.5</v>
      </c>
      <c r="Q48" s="69" t="n">
        <f aca="false">Enterprise!Q113</f>
        <v>0.45</v>
      </c>
      <c r="R48" s="69" t="n">
        <f aca="false">Enterprise!R113</f>
        <v>0.5</v>
      </c>
      <c r="S48" s="69" t="n">
        <f aca="false">Enterprise!S113</f>
        <v>0.4</v>
      </c>
      <c r="T48" s="69" t="n">
        <f aca="false">Enterprise!T113</f>
        <v>0.5</v>
      </c>
      <c r="U48" s="69" t="n">
        <f aca="false">Enterprise!U113</f>
        <v>0</v>
      </c>
      <c r="V48" s="69" t="n">
        <f aca="false">Enterprise!V113</f>
        <v>0.5</v>
      </c>
      <c r="W48" s="69" t="n">
        <f aca="false">Enterprise!W113</f>
        <v>0.5</v>
      </c>
      <c r="X48" s="69" t="n">
        <f aca="false">Enterprise!X113</f>
        <v>0.5</v>
      </c>
      <c r="Y48" s="69" t="n">
        <f aca="false">Enterprise!Y113</f>
        <v>0.5</v>
      </c>
      <c r="Z48" s="69" t="n">
        <f aca="false">Enterprise!Z113</f>
        <v>0.5</v>
      </c>
      <c r="AA48" s="69" t="n">
        <f aca="false">Enterprise!AA113</f>
        <v>0.5</v>
      </c>
      <c r="AB48" s="69" t="n">
        <f aca="false">Enterprise!AB113</f>
        <v>0.5</v>
      </c>
    </row>
    <row r="49" customFormat="false" ht="15" hidden="false" customHeight="false" outlineLevel="0" collapsed="false">
      <c r="A49" s="28" t="s">
        <v>740</v>
      </c>
      <c r="B49" s="63"/>
      <c r="C49" s="68" t="n">
        <f aca="false">SUM(E49:P49)</f>
        <v>-1.46</v>
      </c>
      <c r="D49" s="68" t="n">
        <f aca="false">SUM(Q49:AB49)</f>
        <v>-1.4926</v>
      </c>
      <c r="E49" s="69" t="n">
        <f aca="false">Enterprise!E114</f>
        <v>-0</v>
      </c>
      <c r="F49" s="69" t="n">
        <f aca="false">Enterprise!F114</f>
        <v>-1</v>
      </c>
      <c r="G49" s="69" t="n">
        <f aca="false">Enterprise!G114</f>
        <v>-0</v>
      </c>
      <c r="H49" s="69" t="n">
        <f aca="false">Enterprise!H114</f>
        <v>-0</v>
      </c>
      <c r="I49" s="69" t="n">
        <f aca="false">Enterprise!I114</f>
        <v>-0</v>
      </c>
      <c r="J49" s="69" t="n">
        <f aca="false">Enterprise!J114</f>
        <v>-0</v>
      </c>
      <c r="K49" s="69" t="n">
        <f aca="false">Enterprise!K114</f>
        <v>-0</v>
      </c>
      <c r="L49" s="69" t="n">
        <f aca="false">Enterprise!L114</f>
        <v>-0</v>
      </c>
      <c r="M49" s="69" t="n">
        <f aca="false">Enterprise!M114</f>
        <v>-0.19</v>
      </c>
      <c r="N49" s="69" t="n">
        <f aca="false">Enterprise!N114</f>
        <v>-0.07</v>
      </c>
      <c r="O49" s="69" t="n">
        <f aca="false">Enterprise!O114</f>
        <v>-0.2</v>
      </c>
      <c r="P49" s="69" t="n">
        <f aca="false">Enterprise!P114</f>
        <v>-0</v>
      </c>
      <c r="Q49" s="69" t="n">
        <f aca="false">Enterprise!Q114</f>
        <v>-0.35</v>
      </c>
      <c r="R49" s="69" t="n">
        <f aca="false">Enterprise!R114</f>
        <v>-0</v>
      </c>
      <c r="S49" s="69" t="n">
        <f aca="false">Enterprise!S114</f>
        <v>-0.19</v>
      </c>
      <c r="T49" s="69" t="n">
        <f aca="false">Enterprise!T114</f>
        <v>-0.11</v>
      </c>
      <c r="U49" s="69" t="n">
        <f aca="false">Enterprise!U114</f>
        <v>-0.12</v>
      </c>
      <c r="V49" s="69" t="n">
        <f aca="false">Enterprise!V114</f>
        <v>-0.13</v>
      </c>
      <c r="W49" s="69" t="n">
        <f aca="false">Enterprise!W114</f>
        <v>-0.11</v>
      </c>
      <c r="X49" s="69" t="n">
        <f aca="false">Enterprise!X114</f>
        <v>-0</v>
      </c>
      <c r="Y49" s="69" t="n">
        <f aca="false">Enterprise!Y114</f>
        <v>-0.1775</v>
      </c>
      <c r="Z49" s="69" t="n">
        <f aca="false">Enterprise!Z114</f>
        <v>-0.0651</v>
      </c>
      <c r="AA49" s="69" t="n">
        <f aca="false">Enterprise!AA114</f>
        <v>-0.215</v>
      </c>
      <c r="AB49" s="69" t="n">
        <f aca="false">Enterprise!AB114</f>
        <v>-0.025</v>
      </c>
    </row>
    <row r="50" customFormat="false" ht="15" hidden="false" customHeight="false" outlineLevel="0" collapsed="false">
      <c r="A50" s="28" t="s">
        <v>341</v>
      </c>
      <c r="B50" s="63"/>
      <c r="C50" s="64" t="n">
        <f aca="false">P50</f>
        <v>7452.5345950573</v>
      </c>
      <c r="D50" s="64" t="n">
        <f aca="false">AB50</f>
        <v>7758.54071952131</v>
      </c>
      <c r="E50" s="74" t="n">
        <f aca="false">IF(E47=0,0,E45/E47)</f>
        <v>6808.338</v>
      </c>
      <c r="F50" s="74" t="n">
        <f aca="false">IF(F47=0,0,F45/F47)</f>
        <v>6804.12842105263</v>
      </c>
      <c r="G50" s="74" t="n">
        <f aca="false">IF(G47=0,0,G45/G47)</f>
        <v>6925.43421052632</v>
      </c>
      <c r="H50" s="74" t="n">
        <f aca="false">IF(H47=0,0,H45/H47)</f>
        <v>7167.415</v>
      </c>
      <c r="I50" s="74" t="n">
        <f aca="false">IF(I47=0,0,I45/I47)</f>
        <v>7251.435</v>
      </c>
      <c r="J50" s="74" t="n">
        <f aca="false">IF(J47=0,0,J45/J47)</f>
        <v>7304.3595</v>
      </c>
      <c r="K50" s="74" t="n">
        <f aca="false">IF(K47=0,0,K45/K47)</f>
        <v>7252.91666666667</v>
      </c>
      <c r="L50" s="74" t="n">
        <f aca="false">IF(L47=0,0,L45/L47)</f>
        <v>7252.91666666667</v>
      </c>
      <c r="M50" s="74" t="n">
        <f aca="false">IF(M47=0,0,M45/M47)</f>
        <v>7327.06876538395</v>
      </c>
      <c r="N50" s="74" t="n">
        <f aca="false">IF(N47=0,0,N45/N47)</f>
        <v>7350.29648208486</v>
      </c>
      <c r="O50" s="74" t="n">
        <f aca="false">IF(O47=0,0,O45/O47)</f>
        <v>7415.9341833983</v>
      </c>
      <c r="P50" s="74" t="n">
        <f aca="false">IF(P47=0,0,P45/P47)</f>
        <v>7452.5345950573</v>
      </c>
      <c r="Q50" s="74" t="n">
        <f aca="false">IF(Q47=0,0,Q45/Q47)</f>
        <v>7445.44675908648</v>
      </c>
      <c r="R50" s="74" t="n">
        <f aca="false">IF(R47=0,0,R45/R47)</f>
        <v>7399.46099561781</v>
      </c>
      <c r="S50" s="74" t="n">
        <f aca="false">IF(S47=0,0,S45/S47)</f>
        <v>7482.88364711314</v>
      </c>
      <c r="T50" s="74" t="n">
        <f aca="false">IF(T47=0,0,T45/T47)</f>
        <v>7501.8947346099</v>
      </c>
      <c r="U50" s="74" t="n">
        <f aca="false">IF(U47=0,0,U45/U47)</f>
        <v>7548.15459587368</v>
      </c>
      <c r="V50" s="74" t="n">
        <f aca="false">IF(V47=0,0,V45/V47)</f>
        <v>7589.32140988697</v>
      </c>
      <c r="W50" s="74" t="n">
        <f aca="false">IF(W47=0,0,W45/W47)</f>
        <v>7625.67869003279</v>
      </c>
      <c r="X50" s="74" t="n">
        <f aca="false">IF(X47=0,0,X45/X47)</f>
        <v>7619.93059391034</v>
      </c>
      <c r="Y50" s="74" t="n">
        <f aca="false">IF(Y47=0,0,Y45/Y47)</f>
        <v>7677.02832758992</v>
      </c>
      <c r="Z50" s="74" t="n">
        <f aca="false">IF(Z47=0,0,Z45/Z47)</f>
        <v>7689.36698444887</v>
      </c>
      <c r="AA50" s="74" t="n">
        <f aca="false">IF(AA47=0,0,AA45/AA47)</f>
        <v>7754.02054327013</v>
      </c>
      <c r="AB50" s="74" t="n">
        <f aca="false">IF(AB47=0,0,AB45/AB47)</f>
        <v>7758.54071952131</v>
      </c>
    </row>
    <row r="51" customFormat="false" ht="15" hidden="false" customHeight="false" outlineLevel="0" collapsed="false">
      <c r="A51" s="28" t="s">
        <v>9</v>
      </c>
      <c r="B51" s="63" t="s">
        <v>741</v>
      </c>
      <c r="C51" s="66" t="n">
        <f aca="false">P51</f>
        <v>1.00989314739018</v>
      </c>
      <c r="D51" s="66" t="n">
        <f aca="false">AB51</f>
        <v>0.994293940344611</v>
      </c>
      <c r="E51" s="67" t="n">
        <f aca="false">IF(History!$C$36=0,0,(History!$C$36+SUM(ARR_Bridge!E41:E41)+SUM(History!$D$32:$N$32)+SUM(ARR_Bridge!E42:E42)+SUM(History!$D$33:$N$33)+SUM(ARR_Bridge!E43:E43)+SUM(History!$D$34:$N$34)+SUM(ARR_Bridge!E44:E44)+SUM(History!$D$35:$N$35))/History!$C$36)</f>
        <v>1.04076269511954</v>
      </c>
      <c r="F51" s="67" t="n">
        <f aca="false">IF(History!$D$36=0,0,(History!$D$36+SUM(ARR_Bridge!E41:F41)+SUM(History!$E$32:$N$32)+SUM(ARR_Bridge!E42:F42)+SUM(History!$E$33:$N$33)+SUM(ARR_Bridge!E43:F43)+SUM(History!$E$34:$N$34)+SUM(ARR_Bridge!E44:F44)+SUM(History!$E$35:$N$35))/History!$D$36)</f>
        <v>0.972457727204933</v>
      </c>
      <c r="G51" s="67" t="n">
        <f aca="false">IF(History!$E$36=0,0,(History!$E$36+SUM(ARR_Bridge!E41:G41)+SUM(History!$F$32:$N$32)+SUM(ARR_Bridge!E42:G42)+SUM(History!$F$33:$N$33)+SUM(ARR_Bridge!E43:G43)+SUM(History!$F$34:$N$34)+SUM(ARR_Bridge!E44:G44)+SUM(History!$F$35:$N$35))/History!$E$36)</f>
        <v>0.981399223869515</v>
      </c>
      <c r="H51" s="67" t="n">
        <f aca="false">IF(History!$F$36=0,0,(History!$F$36+SUM(ARR_Bridge!E41:H41)+SUM(History!$G$32:$N$32)+SUM(ARR_Bridge!E42:H42)+SUM(History!$G$33:$N$33)+SUM(ARR_Bridge!E43:H43)+SUM(History!$G$34:$N$34)+SUM(ARR_Bridge!E44:H44)+SUM(History!$G$35:$N$35))/History!$F$36)</f>
        <v>1.01939085869759</v>
      </c>
      <c r="I51" s="67" t="n">
        <f aca="false">IF(History!$G$36=0,0,(History!$G$36+SUM(ARR_Bridge!E41:I41)+SUM(History!$H$32:$N$32)+SUM(ARR_Bridge!E42:I42)+SUM(History!$H$33:$N$33)+SUM(ARR_Bridge!E43:I43)+SUM(History!$H$34:$N$34)+SUM(ARR_Bridge!E44:I44)+SUM(History!$H$35:$N$35))/History!$G$36)</f>
        <v>1.02877419987018</v>
      </c>
      <c r="J51" s="67" t="n">
        <f aca="false">IF(History!$H$36=0,0,(History!$H$36+SUM(ARR_Bridge!E41:J41)+SUM(History!$I$32:$N$32)+SUM(ARR_Bridge!E42:J42)+SUM(History!$I$33:$N$33)+SUM(ARR_Bridge!E43:J43)+SUM(History!$I$34:$N$34)+SUM(ARR_Bridge!E44:J44)+SUM(History!$I$35:$N$35))/History!$H$36)</f>
        <v>1.02876768658465</v>
      </c>
      <c r="K51" s="67" t="n">
        <f aca="false">IF(History!$I$36=0,0,(History!$I$36+SUM(ARR_Bridge!E41:K41)+SUM(History!$J$32:$N$32)+SUM(ARR_Bridge!E42:K42)+SUM(History!$J$33:$N$33)+SUM(ARR_Bridge!E43:K43)+SUM(History!$J$34:$N$34)+SUM(ARR_Bridge!E44:K44)+SUM(History!$J$35:$N$35))/History!$I$36)</f>
        <v>1.03113217359756</v>
      </c>
      <c r="L51" s="67" t="n">
        <f aca="false">IF(History!$J$36=0,0,(History!$J$36+SUM(ARR_Bridge!E41:L41)+SUM(History!$K$32:$N$32)+SUM(ARR_Bridge!E42:L42)+SUM(History!$K$33:$N$33)+SUM(ARR_Bridge!E43:L43)+SUM(History!$K$34:$N$34)+SUM(ARR_Bridge!E44:L44)+SUM(History!$K$35:$N$35))/History!$J$36)</f>
        <v>1.03113217359756</v>
      </c>
      <c r="M51" s="67" t="n">
        <f aca="false">IF(History!$K$36=0,0,(History!$K$36+SUM(ARR_Bridge!E41:M41)+SUM(History!$L$32:$N$32)+SUM(ARR_Bridge!E42:M42)+SUM(History!$L$33:$N$33)+SUM(ARR_Bridge!E43:M43)+SUM(History!$L$34:$N$34)+SUM(ARR_Bridge!E44:M44)+SUM(History!$L$35:$N$35))/History!$K$36)</f>
        <v>1.01967043338574</v>
      </c>
      <c r="N51" s="67" t="n">
        <f aca="false">IF(History!$L$36=0,0,(History!$L$36+SUM(ARR_Bridge!E41:N41)+SUM(History!$M$32:$N$32)+SUM(ARR_Bridge!E42:N42)+SUM(History!$M$33:$N$33)+SUM(ARR_Bridge!E43:N43)+SUM(History!$M$34:$N$34)+SUM(ARR_Bridge!E44:N44)+SUM(History!$M$35:$N$35))/History!$L$36)</f>
        <v>1.01612194535461</v>
      </c>
      <c r="O51" s="67" t="n">
        <f aca="false">IF(History!$M$36=0,0,(History!$M$36+SUM(ARR_Bridge!E41:O41)+SUM(History!$N$32:$N$32)+SUM(ARR_Bridge!E42:O42)+SUM(History!$N$33:$N$33)+SUM(ARR_Bridge!E43:O43)+SUM(History!$N$34:$N$34)+SUM(ARR_Bridge!E44:O44)+SUM(History!$N$35:$N$35))/History!$M$36)</f>
        <v>1.00989314739018</v>
      </c>
      <c r="P51" s="67" t="n">
        <f aca="false">IF(History!$N$36=0,0,(History!$N$36+SUM(ARR_Bridge!E41:P41)+SUM(ARR_Bridge!E42:P42)+SUM(ARR_Bridge!E43:P43)+SUM(ARR_Bridge!E44:P44))/History!$N$36)</f>
        <v>1.00989314739018</v>
      </c>
      <c r="Q51" s="67" t="n">
        <f aca="false">IF(E45=0,0,(E45+SUM(ARR_Bridge!F41:Q41)+SUM(ARR_Bridge!F42:Q42)+SUM(ARR_Bridge!F43:Q43)+SUM(ARR_Bridge!F44:Q44))/E45)</f>
        <v>0.975414356209548</v>
      </c>
      <c r="R51" s="67" t="n">
        <f aca="false">IF(F45=0,0,(F45+SUM(ARR_Bridge!G41:R41)+SUM(ARR_Bridge!G42:R42)+SUM(ARR_Bridge!G43:R43)+SUM(ARR_Bridge!G44:R44))/F45)</f>
        <v>1.0273871849207</v>
      </c>
      <c r="S51" s="67" t="n">
        <f aca="false">IF(G45=0,0,(G45+SUM(ARR_Bridge!H41:S41)+SUM(ARR_Bridge!H42:S42)+SUM(ARR_Bridge!H43:S43)+SUM(ARR_Bridge!H44:S44))/G45)</f>
        <v>1.01172252454389</v>
      </c>
      <c r="T51" s="67" t="n">
        <f aca="false">IF(H45=0,0,(H45+SUM(ARR_Bridge!I41:T41)+SUM(ARR_Bridge!I42:T42)+SUM(ARR_Bridge!I43:T43)+SUM(ARR_Bridge!I44:T44))/H45)</f>
        <v>1.01137073644047</v>
      </c>
      <c r="U51" s="67" t="n">
        <f aca="false">IF(I45=0,0,(I45+SUM(ARR_Bridge!J41:U41)+SUM(ARR_Bridge!J42:U42)+SUM(ARR_Bridge!J43:U43)+SUM(ARR_Bridge!J44:U44))/I45)</f>
        <v>1.00069208658872</v>
      </c>
      <c r="V51" s="67" t="n">
        <f aca="false">IF(J45=0,0,(J45+SUM(ARR_Bridge!K41:V41)+SUM(ARR_Bridge!K42:V42)+SUM(ARR_Bridge!K43:V43)+SUM(ARR_Bridge!K44:V44))/J45)</f>
        <v>0.993909399956902</v>
      </c>
      <c r="W51" s="67" t="n">
        <f aca="false">IF(K45=0,0,(K45+SUM(ARR_Bridge!L41:W41)+SUM(ARR_Bridge!L42:W42)+SUM(ARR_Bridge!L43:W43)+SUM(ARR_Bridge!L44:W44))/K45)</f>
        <v>0.992283469815723</v>
      </c>
      <c r="X51" s="67" t="n">
        <f aca="false">IF(L45=0,0,(L45+SUM(ARR_Bridge!M41:X41)+SUM(ARR_Bridge!M42:X42)+SUM(ARR_Bridge!M43:X43)+SUM(ARR_Bridge!M44:X44))/L45)</f>
        <v>0.992283469815723</v>
      </c>
      <c r="Y51" s="67" t="n">
        <f aca="false">IF(M45=0,0,(M45+SUM(ARR_Bridge!N41:Y41)+SUM(ARR_Bridge!N42:Y42)+SUM(ARR_Bridge!N43:Y43)+SUM(ARR_Bridge!N44:Y44))/M45)</f>
        <v>0.992324577205428</v>
      </c>
      <c r="Z51" s="67" t="n">
        <f aca="false">IF(N45=0,0,(N45+SUM(ARR_Bridge!O41:Z41)+SUM(ARR_Bridge!O42:Z42)+SUM(ARR_Bridge!O43:Z43)+SUM(ARR_Bridge!O44:Z44))/N45)</f>
        <v>0.992323781998209</v>
      </c>
      <c r="AA51" s="67" t="n">
        <f aca="false">IF(O45=0,0,(O45+SUM(ARR_Bridge!P41:AA41)+SUM(ARR_Bridge!P42:AA42)+SUM(ARR_Bridge!P43:AA43)+SUM(ARR_Bridge!P44:AA44))/O45)</f>
        <v>0.993342948066641</v>
      </c>
      <c r="AB51" s="67" t="n">
        <f aca="false">IF(P45=0,0,(P45+SUM(ARR_Bridge!Q41:AB41)+SUM(ARR_Bridge!Q42:AB42)+SUM(ARR_Bridge!Q43:AB43)+SUM(ARR_Bridge!Q44:AB44))/P45)</f>
        <v>0.994293940344611</v>
      </c>
    </row>
    <row r="52" customFormat="false" ht="15" hidden="false" customHeight="false" outlineLevel="0" collapsed="false">
      <c r="A52" s="28" t="s">
        <v>342</v>
      </c>
      <c r="B52" s="63" t="s">
        <v>741</v>
      </c>
      <c r="C52" s="66" t="n">
        <f aca="false">P52</f>
        <v>0.925602817658314</v>
      </c>
      <c r="D52" s="66" t="n">
        <f aca="false">AB52</f>
        <v>0.923473741524797</v>
      </c>
      <c r="E52" s="67" t="n">
        <f aca="false">IF(History!$C$36=0,0,(History!$C$36+SUM(ARR_Bridge!E43:E43)+SUM(History!$D$34:$N$34)+SUM(ARR_Bridge!E44:E44)+SUM(History!$D$35:$N$35))/History!$C$36)</f>
        <v>0.959981713659393</v>
      </c>
      <c r="F52" s="67" t="n">
        <f aca="false">IF(History!$D$36=0,0,(History!$D$36+SUM(ARR_Bridge!E43:F43)+SUM(History!$E$34:$N$34)+SUM(ARR_Bridge!E44:F44)+SUM(History!$E$35:$N$35))/History!$D$36)</f>
        <v>0.896218801976983</v>
      </c>
      <c r="G52" s="67" t="n">
        <f aca="false">IF(History!$E$36=0,0,(History!$E$36+SUM(ARR_Bridge!E43:G43)+SUM(History!$F$34:$N$34)+SUM(ARR_Bridge!E44:G44)+SUM(History!$F$35:$N$35))/History!$E$36)</f>
        <v>0.902090491350838</v>
      </c>
      <c r="H52" s="67" t="n">
        <f aca="false">IF(History!$F$36=0,0,(History!$F$36+SUM(ARR_Bridge!E43:H43)+SUM(History!$G$34:$N$34)+SUM(ARR_Bridge!E44:H44)+SUM(History!$G$35:$N$35))/History!$F$36)</f>
        <v>0.937498916852469</v>
      </c>
      <c r="I52" s="67" t="n">
        <f aca="false">IF(History!$G$36=0,0,(History!$G$36+SUM(ARR_Bridge!E43:I43)+SUM(History!$H$34:$N$34)+SUM(ARR_Bridge!E44:I44)+SUM(History!$H$35:$N$35))/History!$G$36)</f>
        <v>0.94016208996257</v>
      </c>
      <c r="J52" s="67" t="n">
        <f aca="false">IF(History!$H$36=0,0,(History!$H$36+SUM(ARR_Bridge!E43:J43)+SUM(History!$I$34:$N$34)+SUM(ARR_Bridge!E44:J44)+SUM(History!$I$35:$N$35))/History!$H$36)</f>
        <v>0.940692545946935</v>
      </c>
      <c r="K52" s="67" t="n">
        <f aca="false">IF(History!$I$36=0,0,(History!$I$36+SUM(ARR_Bridge!E43:K43)+SUM(History!$J$34:$N$34)+SUM(ARR_Bridge!E44:K44)+SUM(History!$J$35:$N$35))/History!$I$36)</f>
        <v>0.943046289937471</v>
      </c>
      <c r="L52" s="67" t="n">
        <f aca="false">IF(History!$J$36=0,0,(History!$J$36+SUM(ARR_Bridge!E43:L43)+SUM(History!$K$34:$N$34)+SUM(ARR_Bridge!E44:L44)+SUM(History!$K$35:$N$35))/History!$J$36)</f>
        <v>0.943046289937471</v>
      </c>
      <c r="M52" s="67" t="n">
        <f aca="false">IF(History!$K$36=0,0,(History!$K$36+SUM(ARR_Bridge!E43:M43)+SUM(History!$L$34:$N$34)+SUM(ARR_Bridge!E44:M44)+SUM(History!$L$35:$N$35))/History!$K$36)</f>
        <v>0.936294120905572</v>
      </c>
      <c r="N52" s="67" t="n">
        <f aca="false">IF(History!$L$36=0,0,(History!$L$36+SUM(ARR_Bridge!E43:N43)+SUM(History!$M$34:$N$34)+SUM(ARR_Bridge!E44:N44)+SUM(History!$M$35:$N$35))/History!$L$36)</f>
        <v>0.932025420842292</v>
      </c>
      <c r="O52" s="67" t="n">
        <f aca="false">IF(History!$M$36=0,0,(History!$M$36+SUM(ARR_Bridge!E43:O43)+SUM(History!$N$34:$N$34)+SUM(ARR_Bridge!E44:O44)+SUM(History!$N$35:$N$35))/History!$M$36)</f>
        <v>0.925602817658314</v>
      </c>
      <c r="P52" s="67" t="n">
        <f aca="false">IF(History!$N$36=0,0,(History!$N$36+SUM(ARR_Bridge!E43:P43)+SUM(ARR_Bridge!E44:P44))/History!$N$36)</f>
        <v>0.925602817658314</v>
      </c>
      <c r="Q52" s="67" t="n">
        <f aca="false">IF(E45=0,0,(E45+SUM(ARR_Bridge!F43:Q43)+SUM(ARR_Bridge!F44:Q44))/E45)</f>
        <v>0.89406744274447</v>
      </c>
      <c r="R52" s="67" t="n">
        <f aca="false">IF(F45=0,0,(F45+SUM(ARR_Bridge!G43:R43)+SUM(ARR_Bridge!G44:R44))/F45)</f>
        <v>0.941705878412518</v>
      </c>
      <c r="S52" s="67" t="n">
        <f aca="false">IF(G45=0,0,(G45+SUM(ARR_Bridge!H43:S43)+SUM(ARR_Bridge!H44:S44))/G45)</f>
        <v>0.932485786754773</v>
      </c>
      <c r="T52" s="67" t="n">
        <f aca="false">IF(H45=0,0,(H45+SUM(ARR_Bridge!I43:T43)+SUM(ARR_Bridge!I44:T44))/H45)</f>
        <v>0.931771213191925</v>
      </c>
      <c r="U52" s="67" t="n">
        <f aca="false">IF(I45=0,0,(I45+SUM(ARR_Bridge!J43:U43)+SUM(ARR_Bridge!J44:U44))/I45)</f>
        <v>0.927679175225317</v>
      </c>
      <c r="V52" s="67" t="n">
        <f aca="false">IF(J45=0,0,(J45+SUM(ARR_Bridge!K43:V43)+SUM(ARR_Bridge!K44:V44))/J45)</f>
        <v>0.92264570151565</v>
      </c>
      <c r="W52" s="67" t="n">
        <f aca="false">IF(K45=0,0,(K45+SUM(ARR_Bridge!L43:W43)+SUM(ARR_Bridge!L44:W44))/K45)</f>
        <v>0.921844803322145</v>
      </c>
      <c r="X52" s="67" t="n">
        <f aca="false">IF(L45=0,0,(L45+SUM(ARR_Bridge!M43:X43)+SUM(ARR_Bridge!M44:X44))/L45)</f>
        <v>0.921844803322145</v>
      </c>
      <c r="Y52" s="67" t="n">
        <f aca="false">IF(M45=0,0,(M45+SUM(ARR_Bridge!N43:Y43)+SUM(ARR_Bridge!N44:Y44))/M45)</f>
        <v>0.92188049550797</v>
      </c>
      <c r="Z52" s="67" t="n">
        <f aca="false">IF(N45=0,0,(N45+SUM(ARR_Bridge!O43:Z43)+SUM(ARR_Bridge!O44:Z44))/N45)</f>
        <v>0.92187883629772</v>
      </c>
      <c r="AA52" s="67" t="n">
        <f aca="false">IF(O45=0,0,(O45+SUM(ARR_Bridge!P43:AA43)+SUM(ARR_Bridge!P44:AA44))/O45)</f>
        <v>0.922712333129299</v>
      </c>
      <c r="AB52" s="67" t="n">
        <f aca="false">IF(P45=0,0,(P45+SUM(ARR_Bridge!Q43:AB43)+SUM(ARR_Bridge!Q44:AB44))/P45)</f>
        <v>0.923473741524797</v>
      </c>
    </row>
    <row r="53" customFormat="false" ht="15" hidden="false" customHeight="false" outlineLevel="0" collapsed="false">
      <c r="A53" s="22" t="s">
        <v>744</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row>
    <row r="54" customFormat="false" ht="15" hidden="false" customHeight="false" outlineLevel="0" collapsed="false">
      <c r="A54" s="28" t="s">
        <v>731</v>
      </c>
      <c r="B54" s="63"/>
      <c r="E54" s="74" t="n">
        <f aca="false">E9+E24+E39</f>
        <v>452847.26</v>
      </c>
      <c r="F54" s="74" t="n">
        <f aca="false">F9+F24+F39</f>
        <v>472682.76</v>
      </c>
      <c r="G54" s="74" t="n">
        <f aca="false">G9+G24+G39</f>
        <v>471295.5</v>
      </c>
      <c r="H54" s="74" t="n">
        <f aca="false">H9+H24+H39</f>
        <v>482200.14</v>
      </c>
      <c r="I54" s="74" t="n">
        <f aca="false">I9+I24+I39</f>
        <v>502221.96</v>
      </c>
      <c r="J54" s="74" t="n">
        <f aca="false">J9+J24+J39</f>
        <v>506436.63</v>
      </c>
      <c r="K54" s="74" t="n">
        <f aca="false">K9+K24+K39</f>
        <v>513884.04</v>
      </c>
      <c r="L54" s="74" t="n">
        <f aca="false">L9+L24+L39</f>
        <v>529267.29</v>
      </c>
      <c r="M54" s="74" t="n">
        <f aca="false">M9+M24+M39</f>
        <v>533473.36</v>
      </c>
      <c r="N54" s="74" t="n">
        <f aca="false">N9+N24+N39</f>
        <v>542423.62418892</v>
      </c>
      <c r="O54" s="74" t="n">
        <f aca="false">O9+O24+O39</f>
        <v>551568.568255512</v>
      </c>
      <c r="P54" s="74" t="n">
        <f aca="false">P9+P24+P39</f>
        <v>563535.391502256</v>
      </c>
      <c r="Q54" s="74" t="n">
        <f aca="false">Q9+Q24+Q39</f>
        <v>574062.633926032</v>
      </c>
      <c r="R54" s="74" t="n">
        <f aca="false">R9+R24+R39</f>
        <v>594323.093101357</v>
      </c>
      <c r="S54" s="74" t="n">
        <f aca="false">S9+S24+S39</f>
        <v>605590.298865999</v>
      </c>
      <c r="T54" s="74" t="n">
        <f aca="false">T9+T24+T39</f>
        <v>616824.736268837</v>
      </c>
      <c r="U54" s="74" t="n">
        <f aca="false">U9+U24+U39</f>
        <v>627643.771621827</v>
      </c>
      <c r="V54" s="74" t="n">
        <f aca="false">V9+V24+V39</f>
        <v>635477.032242298</v>
      </c>
      <c r="W54" s="74" t="n">
        <f aca="false">W9+W24+W39</f>
        <v>646282.024410461</v>
      </c>
      <c r="X54" s="74" t="n">
        <f aca="false">X9+X24+X39</f>
        <v>655955.613871223</v>
      </c>
      <c r="Y54" s="74" t="n">
        <f aca="false">Y9+Y24+Y39</f>
        <v>663792.209589036</v>
      </c>
      <c r="Z54" s="74" t="n">
        <f aca="false">Z9+Z24+Z39</f>
        <v>676100.658698874</v>
      </c>
      <c r="AA54" s="74" t="n">
        <f aca="false">AA9+AA24+AA39</f>
        <v>688634.239087364</v>
      </c>
      <c r="AB54" s="74" t="n">
        <f aca="false">AB9+AB24+AB39</f>
        <v>700227.26126532</v>
      </c>
    </row>
    <row r="55" customFormat="false" ht="15" hidden="false" customHeight="false" outlineLevel="0" collapsed="false">
      <c r="A55" s="28" t="s">
        <v>732</v>
      </c>
      <c r="B55" s="63"/>
      <c r="C55" s="64" t="n">
        <f aca="false">SUM(E55:P55)</f>
        <v>156159.3993</v>
      </c>
      <c r="D55" s="64" t="n">
        <f aca="false">SUM(Q55:AB55)</f>
        <v>165567.9</v>
      </c>
      <c r="E55" s="74" t="n">
        <f aca="false">E10+E25+E40</f>
        <v>14644.77</v>
      </c>
      <c r="F55" s="74" t="n">
        <f aca="false">F10+F25+F40</f>
        <v>11106.27</v>
      </c>
      <c r="G55" s="74" t="n">
        <f aca="false">G10+G25+G40</f>
        <v>13970.62</v>
      </c>
      <c r="H55" s="74" t="n">
        <f aca="false">H10+H25+H40</f>
        <v>21924.04</v>
      </c>
      <c r="I55" s="74" t="n">
        <f aca="false">I10+I25+I40</f>
        <v>7429.98</v>
      </c>
      <c r="J55" s="74" t="n">
        <f aca="false">J10+J25+J40</f>
        <v>10786.34</v>
      </c>
      <c r="K55" s="74" t="n">
        <f aca="false">K10+K25+K40</f>
        <v>16611.36</v>
      </c>
      <c r="L55" s="74" t="n">
        <f aca="false">L10+L25+L40</f>
        <v>9140.67</v>
      </c>
      <c r="M55" s="74" t="n">
        <f aca="false">M10+M25+M40</f>
        <v>11072.33515</v>
      </c>
      <c r="N55" s="74" t="n">
        <f aca="false">N10+N25+N40</f>
        <v>11482.0451</v>
      </c>
      <c r="O55" s="74" t="n">
        <f aca="false">O10+O25+O40</f>
        <v>14777.2619</v>
      </c>
      <c r="P55" s="74" t="n">
        <f aca="false">P10+P25+P40</f>
        <v>13213.70715</v>
      </c>
      <c r="Q55" s="74" t="n">
        <f aca="false">Q10+Q25+Q40</f>
        <v>16058.2371975</v>
      </c>
      <c r="R55" s="74" t="n">
        <f aca="false">R10+R25+R40</f>
        <v>14325.9519075</v>
      </c>
      <c r="S55" s="74" t="n">
        <f aca="false">S10+S25+S40</f>
        <v>14422.50471</v>
      </c>
      <c r="T55" s="74" t="n">
        <f aca="false">T10+T25+T40</f>
        <v>13764.49353</v>
      </c>
      <c r="U55" s="74" t="n">
        <f aca="false">U10+U25+U40</f>
        <v>10764.49353</v>
      </c>
      <c r="V55" s="74" t="n">
        <f aca="false">V10+V25+V40</f>
        <v>13901.48235</v>
      </c>
      <c r="W55" s="74" t="n">
        <f aca="false">W10+W25+W40</f>
        <v>12824.3925075</v>
      </c>
      <c r="X55" s="74" t="n">
        <f aca="false">X10+X25+X40</f>
        <v>10994.7275025</v>
      </c>
      <c r="Y55" s="74" t="n">
        <f aca="false">Y10+Y25+Y40</f>
        <v>15300.9519075</v>
      </c>
      <c r="Z55" s="74" t="n">
        <f aca="false">Z10+Z25+Z40</f>
        <v>15731.147355</v>
      </c>
      <c r="AA55" s="74" t="n">
        <f aca="false">AA10+AA25+AA40</f>
        <v>14655.124995</v>
      </c>
      <c r="AB55" s="74" t="n">
        <f aca="false">AB10+AB25+AB40</f>
        <v>12824.3925075</v>
      </c>
    </row>
    <row r="56" customFormat="false" ht="15" hidden="false" customHeight="false" outlineLevel="0" collapsed="false">
      <c r="A56" s="28" t="s">
        <v>733</v>
      </c>
      <c r="B56" s="63"/>
      <c r="C56" s="64" t="n">
        <f aca="false">SUM(E56:P56)</f>
        <v>48267.536915388</v>
      </c>
      <c r="D56" s="64" t="n">
        <f aca="false">SUM(Q56:AB56)</f>
        <v>59650.0725695493</v>
      </c>
      <c r="E56" s="74" t="n">
        <f aca="false">E11+E26+E41</f>
        <v>4876.57</v>
      </c>
      <c r="F56" s="74" t="n">
        <f aca="false">F11+F26+F41</f>
        <v>2987.21</v>
      </c>
      <c r="G56" s="74" t="n">
        <f aca="false">G11+G26+G41</f>
        <v>4650.84</v>
      </c>
      <c r="H56" s="74" t="n">
        <f aca="false">H11+H26+H41</f>
        <v>3456.94</v>
      </c>
      <c r="I56" s="74" t="n">
        <f aca="false">I11+I26+I41</f>
        <v>4741.77</v>
      </c>
      <c r="J56" s="74" t="n">
        <f aca="false">J11+J26+J41</f>
        <v>4287.69</v>
      </c>
      <c r="K56" s="74" t="n">
        <f aca="false">K11+K26+K41</f>
        <v>3566.57</v>
      </c>
      <c r="L56" s="74" t="n">
        <f aca="false">L11+L26+L41</f>
        <v>3321.5</v>
      </c>
      <c r="M56" s="74" t="n">
        <f aca="false">M11+M26+M41</f>
        <v>4466.58738332</v>
      </c>
      <c r="N56" s="74" t="n">
        <f aca="false">N11+N26+N41</f>
        <v>3874.45055221071</v>
      </c>
      <c r="O56" s="74" t="n">
        <f aca="false">O11+O26+O41</f>
        <v>4380.14996197008</v>
      </c>
      <c r="P56" s="74" t="n">
        <f aca="false">P11+P26+P41</f>
        <v>3657.25901788719</v>
      </c>
      <c r="Q56" s="74" t="n">
        <f aca="false">Q11+Q26+Q41</f>
        <v>5780.54216316409</v>
      </c>
      <c r="R56" s="74" t="n">
        <f aca="false">R11+R26+R41</f>
        <v>3980.91372055375</v>
      </c>
      <c r="S56" s="74" t="n">
        <f aca="false">S11+S26+S41</f>
        <v>5261.67374845103</v>
      </c>
      <c r="T56" s="74" t="n">
        <f aca="false">T11+T26+T41</f>
        <v>5122.44708437593</v>
      </c>
      <c r="U56" s="74" t="n">
        <f aca="false">U11+U26+U41</f>
        <v>4856.49422128578</v>
      </c>
      <c r="V56" s="74" t="n">
        <f aca="false">V11+V26+V41</f>
        <v>4772.43047818021</v>
      </c>
      <c r="W56" s="74" t="n">
        <f aca="false">W11+W26+W41</f>
        <v>5014.39798337839</v>
      </c>
      <c r="X56" s="74" t="n">
        <f aca="false">X11+X26+X41</f>
        <v>4303.20933037771</v>
      </c>
      <c r="Y56" s="74" t="n">
        <f aca="false">Y11+Y26+Y41</f>
        <v>5406.46855268028</v>
      </c>
      <c r="Z56" s="74" t="n">
        <f aca="false">Z11+Z26+Z41</f>
        <v>4803.59083285452</v>
      </c>
      <c r="AA56" s="74" t="n">
        <f aca="false">AA11+AA26+AA41</f>
        <v>5549.68109973356</v>
      </c>
      <c r="AB56" s="74" t="n">
        <f aca="false">AB11+AB26+AB41</f>
        <v>4798.22335451407</v>
      </c>
    </row>
    <row r="57" customFormat="false" ht="15" hidden="false" customHeight="false" outlineLevel="0" collapsed="false">
      <c r="A57" s="28" t="s">
        <v>734</v>
      </c>
      <c r="B57" s="63"/>
      <c r="C57" s="64" t="n">
        <f aca="false">SUM(E57:P57)</f>
        <v>18247.4657540239</v>
      </c>
      <c r="D57" s="64" t="n">
        <f aca="false">SUM(Q57:AB57)</f>
        <v>23861.4955922485</v>
      </c>
      <c r="E57" s="74" t="n">
        <f aca="false">E12+E27+E42</f>
        <v>9743.53</v>
      </c>
      <c r="F57" s="74" t="n">
        <f aca="false">F12+F27+F42</f>
        <v>373.57</v>
      </c>
      <c r="G57" s="74" t="n">
        <f aca="false">G12+G27+G42</f>
        <v>1131.66</v>
      </c>
      <c r="H57" s="74" t="n">
        <f aca="false">H12+H27+H42</f>
        <v>774.8</v>
      </c>
      <c r="I57" s="74" t="n">
        <f aca="false">I12+I27+I42</f>
        <v>927.99</v>
      </c>
      <c r="J57" s="74" t="n">
        <f aca="false">J12+J27+J42</f>
        <v>825.78</v>
      </c>
      <c r="K57" s="74" t="n">
        <f aca="false">K12+K27+K42</f>
        <v>854.24</v>
      </c>
      <c r="L57" s="74" t="n">
        <f aca="false">L12+L27+L42</f>
        <v>350.54</v>
      </c>
      <c r="M57" s="74" t="n">
        <f aca="false">M12+M27+M42</f>
        <v>1099.3364336</v>
      </c>
      <c r="N57" s="74" t="n">
        <f aca="false">N12+N27+N42</f>
        <v>690.2151574273</v>
      </c>
      <c r="O57" s="74" t="n">
        <f aca="false">O12+O27+O42</f>
        <v>1016.71707354959</v>
      </c>
      <c r="P57" s="74" t="n">
        <f aca="false">P12+P27+P42</f>
        <v>459.087089447054</v>
      </c>
      <c r="Q57" s="74" t="n">
        <f aca="false">Q12+Q27+Q42</f>
        <v>12257.7850765186</v>
      </c>
      <c r="R57" s="74" t="n">
        <f aca="false">R12+R27+R42</f>
        <v>576.665725293727</v>
      </c>
      <c r="S57" s="74" t="n">
        <f aca="false">S12+S27+S42</f>
        <v>1474.64244211266</v>
      </c>
      <c r="T57" s="74" t="n">
        <f aca="false">T12+T27+T42</f>
        <v>1326.72775156356</v>
      </c>
      <c r="U57" s="74" t="n">
        <f aca="false">U12+U27+U42</f>
        <v>1079.71163954733</v>
      </c>
      <c r="V57" s="74" t="n">
        <f aca="false">V12+V27+V42</f>
        <v>1031.13275904955</v>
      </c>
      <c r="W57" s="74" t="n">
        <f aca="false">W12+W27+W42</f>
        <v>1229.5414866982</v>
      </c>
      <c r="X57" s="74" t="n">
        <f aca="false">X12+X27+X42</f>
        <v>574.249257830423</v>
      </c>
      <c r="Y57" s="74" t="n">
        <f aca="false">Y12+Y27+Y42</f>
        <v>1315.15323621913</v>
      </c>
      <c r="Z57" s="74" t="n">
        <f aca="false">Z12+Z27+Z42</f>
        <v>903.674676815168</v>
      </c>
      <c r="AA57" s="74" t="n">
        <f aca="false">AA12+AA27+AA42</f>
        <v>1338.62864056797</v>
      </c>
      <c r="AB57" s="74" t="n">
        <f aca="false">AB12+AB27+AB42</f>
        <v>753.582900032157</v>
      </c>
    </row>
    <row r="58" customFormat="false" ht="15" hidden="false" customHeight="false" outlineLevel="0" collapsed="false">
      <c r="A58" s="28" t="s">
        <v>735</v>
      </c>
      <c r="B58" s="63"/>
      <c r="C58" s="64" t="n">
        <f aca="false">SUM(E58:P58)</f>
        <v>-13409.0648868372</v>
      </c>
      <c r="D58" s="64" t="n">
        <f aca="false">SUM(Q58:AB58)</f>
        <v>-16627.688713874</v>
      </c>
      <c r="E58" s="74" t="n">
        <f aca="false">E13+E28+E43</f>
        <v>-1469.01</v>
      </c>
      <c r="F58" s="74" t="n">
        <f aca="false">F13+F28+F43</f>
        <v>-833.23</v>
      </c>
      <c r="G58" s="74" t="n">
        <f aca="false">G13+G28+G43</f>
        <v>-1337.63</v>
      </c>
      <c r="H58" s="74" t="n">
        <f aca="false">H13+H28+H43</f>
        <v>-1054.78</v>
      </c>
      <c r="I58" s="74" t="n">
        <f aca="false">I13+I28+I43</f>
        <v>-943.27</v>
      </c>
      <c r="J58" s="74" t="n">
        <f aca="false">J13+J28+J43</f>
        <v>-995.9</v>
      </c>
      <c r="K58" s="74" t="n">
        <f aca="false">K13+K28+K43</f>
        <v>-1302.93</v>
      </c>
      <c r="L58" s="74" t="n">
        <f aca="false">L13+L28+L43</f>
        <v>-1036.43</v>
      </c>
      <c r="M58" s="74" t="n">
        <f aca="false">M13+M28+M43</f>
        <v>-1093.895368</v>
      </c>
      <c r="N58" s="74" t="n">
        <f aca="false">N13+N28+N43</f>
        <v>-1076.767648109</v>
      </c>
      <c r="O58" s="74" t="n">
        <f aca="false">O13+O28+O43</f>
        <v>-1143.88823783191</v>
      </c>
      <c r="P58" s="74" t="n">
        <f aca="false">P13+P28+P43</f>
        <v>-1121.33363289627</v>
      </c>
      <c r="Q58" s="74" t="n">
        <f aca="false">Q13+Q28+Q43</f>
        <v>-1500.81966945656</v>
      </c>
      <c r="R58" s="74" t="n">
        <f aca="false">R13+R28+R43</f>
        <v>-1250.99654394272</v>
      </c>
      <c r="S58" s="74" t="n">
        <f aca="false">S13+S28+S43</f>
        <v>-1383.45935701223</v>
      </c>
      <c r="T58" s="74" t="n">
        <f aca="false">T13+T28+T43</f>
        <v>-1394.89457708236</v>
      </c>
      <c r="U58" s="74" t="n">
        <f aca="false">U13+U28+U43</f>
        <v>-1359.42952168404</v>
      </c>
      <c r="V58" s="74" t="n">
        <f aca="false">V13+V28+V43</f>
        <v>-1335.94277501576</v>
      </c>
      <c r="W58" s="74" t="n">
        <f aca="false">W13+W28+W43</f>
        <v>-1458.80596865549</v>
      </c>
      <c r="X58" s="74" t="n">
        <f aca="false">X13+X28+X43</f>
        <v>-1330.18869066164</v>
      </c>
      <c r="Y58" s="74" t="n">
        <f aca="false">Y13+Y28+Y43</f>
        <v>-1405.23202551608</v>
      </c>
      <c r="Z58" s="74" t="n">
        <f aca="false">Z13+Z28+Z43</f>
        <v>-1388.77871421415</v>
      </c>
      <c r="AA58" s="74" t="n">
        <f aca="false">AA13+AA28+AA43</f>
        <v>-1426.16726174742</v>
      </c>
      <c r="AB58" s="74" t="n">
        <f aca="false">AB13+AB28+AB43</f>
        <v>-1392.97360888555</v>
      </c>
    </row>
    <row r="59" customFormat="false" ht="15" hidden="false" customHeight="false" outlineLevel="0" collapsed="false">
      <c r="A59" s="28" t="s">
        <v>736</v>
      </c>
      <c r="B59" s="63"/>
      <c r="C59" s="64" t="n">
        <f aca="false">SUM(E59:P59)</f>
        <v>-88049.9631565428</v>
      </c>
      <c r="D59" s="64" t="n">
        <f aca="false">SUM(Q59:AB59)</f>
        <v>-96452.6040419683</v>
      </c>
      <c r="E59" s="74" t="n">
        <f aca="false">E14+E29+E44</f>
        <v>-7960.36</v>
      </c>
      <c r="F59" s="74" t="n">
        <f aca="false">F14+F29+F44</f>
        <v>-15021.08</v>
      </c>
      <c r="G59" s="74" t="n">
        <f aca="false">G14+G29+G44</f>
        <v>-7510.85</v>
      </c>
      <c r="H59" s="74" t="n">
        <f aca="false">H14+H29+H44</f>
        <v>-5079.18</v>
      </c>
      <c r="I59" s="74" t="n">
        <f aca="false">I14+I29+I44</f>
        <v>-7941.8</v>
      </c>
      <c r="J59" s="74" t="n">
        <f aca="false">J14+J29+J44</f>
        <v>-7456.5</v>
      </c>
      <c r="K59" s="74" t="n">
        <f aca="false">K14+K29+K44</f>
        <v>-4345.99</v>
      </c>
      <c r="L59" s="74" t="n">
        <f aca="false">L14+L29+L44</f>
        <v>-7570.21</v>
      </c>
      <c r="M59" s="74" t="n">
        <f aca="false">M14+M29+M44</f>
        <v>-6594.09941</v>
      </c>
      <c r="N59" s="74" t="n">
        <f aca="false">N14+N29+N44</f>
        <v>-5824.9990949374</v>
      </c>
      <c r="O59" s="74" t="n">
        <f aca="false">O14+O29+O44</f>
        <v>-7063.41745094356</v>
      </c>
      <c r="P59" s="74" t="n">
        <f aca="false">P14+P29+P44</f>
        <v>-5681.4772006618</v>
      </c>
      <c r="Q59" s="74" t="n">
        <f aca="false">Q14+Q29+Q44</f>
        <v>-12335.2855924013</v>
      </c>
      <c r="R59" s="74" t="n">
        <f aca="false">R14+R29+R44</f>
        <v>-6365.32904476319</v>
      </c>
      <c r="S59" s="74" t="n">
        <f aca="false">S14+S29+S44</f>
        <v>-8540.92414071279</v>
      </c>
      <c r="T59" s="74" t="n">
        <f aca="false">T14+T29+T44</f>
        <v>-7999.73843586794</v>
      </c>
      <c r="U59" s="74" t="n">
        <f aca="false">U14+U29+U44</f>
        <v>-7508.00924867767</v>
      </c>
      <c r="V59" s="74" t="n">
        <f aca="false">V14+V29+V44</f>
        <v>-7564.110644051</v>
      </c>
      <c r="W59" s="74" t="n">
        <f aca="false">W14+W29+W44</f>
        <v>-7935.93654815861</v>
      </c>
      <c r="X59" s="74" t="n">
        <f aca="false">X14+X29+X44</f>
        <v>-6705.40168223386</v>
      </c>
      <c r="Y59" s="74" t="n">
        <f aca="false">Y14+Y29+Y44</f>
        <v>-8308.89256104548</v>
      </c>
      <c r="Z59" s="74" t="n">
        <f aca="false">Z14+Z29+Z44</f>
        <v>-7516.05376196575</v>
      </c>
      <c r="AA59" s="74" t="n">
        <f aca="false">AA14+AA29+AA44</f>
        <v>-8524.24529559831</v>
      </c>
      <c r="AB59" s="74" t="n">
        <f aca="false">AB14+AB29+AB44</f>
        <v>-7148.67708649242</v>
      </c>
    </row>
    <row r="60" customFormat="false" ht="15" hidden="false" customHeight="false" outlineLevel="0" collapsed="false">
      <c r="A60" s="59" t="s">
        <v>745</v>
      </c>
      <c r="B60" s="60"/>
      <c r="C60" s="61" t="n">
        <f aca="false">P60</f>
        <v>574062.633926032</v>
      </c>
      <c r="D60" s="61" t="n">
        <f aca="false">AB60</f>
        <v>710061.809331988</v>
      </c>
      <c r="E60" s="61" t="n">
        <f aca="false">E15+E30+E45</f>
        <v>472682.76</v>
      </c>
      <c r="F60" s="61" t="n">
        <f aca="false">F15+F30+F45</f>
        <v>471295.5</v>
      </c>
      <c r="G60" s="61" t="n">
        <f aca="false">G15+G30+G45</f>
        <v>482200.14</v>
      </c>
      <c r="H60" s="61" t="n">
        <f aca="false">H15+H30+H45</f>
        <v>502221.96</v>
      </c>
      <c r="I60" s="61" t="n">
        <f aca="false">I15+I30+I45</f>
        <v>506436.63</v>
      </c>
      <c r="J60" s="61" t="n">
        <f aca="false">J15+J30+J45</f>
        <v>513884.04</v>
      </c>
      <c r="K60" s="61" t="n">
        <f aca="false">K15+K30+K45</f>
        <v>529267.29</v>
      </c>
      <c r="L60" s="61" t="n">
        <f aca="false">L15+L30+L45</f>
        <v>533473.36</v>
      </c>
      <c r="M60" s="61" t="n">
        <f aca="false">M15+M30+M45</f>
        <v>542423.62418892</v>
      </c>
      <c r="N60" s="61" t="n">
        <f aca="false">N15+N30+N45</f>
        <v>551568.568255512</v>
      </c>
      <c r="O60" s="61" t="n">
        <f aca="false">O15+O30+O45</f>
        <v>563535.391502256</v>
      </c>
      <c r="P60" s="61" t="n">
        <f aca="false">P15+P30+P45</f>
        <v>574062.633926032</v>
      </c>
      <c r="Q60" s="61" t="n">
        <f aca="false">Q15+Q30+Q45</f>
        <v>594323.093101357</v>
      </c>
      <c r="R60" s="61" t="n">
        <f aca="false">R15+R30+R45</f>
        <v>605590.298865999</v>
      </c>
      <c r="S60" s="61" t="n">
        <f aca="false">S15+S30+S45</f>
        <v>616824.736268837</v>
      </c>
      <c r="T60" s="61" t="n">
        <f aca="false">T15+T30+T45</f>
        <v>627643.771621827</v>
      </c>
      <c r="U60" s="61" t="n">
        <f aca="false">U15+U30+U45</f>
        <v>635477.032242298</v>
      </c>
      <c r="V60" s="61" t="n">
        <f aca="false">V15+V30+V45</f>
        <v>646282.024410461</v>
      </c>
      <c r="W60" s="61" t="n">
        <f aca="false">W15+W30+W45</f>
        <v>655955.613871223</v>
      </c>
      <c r="X60" s="61" t="n">
        <f aca="false">X15+X30+X45</f>
        <v>663792.209589036</v>
      </c>
      <c r="Y60" s="61" t="n">
        <f aca="false">Y15+Y30+Y45</f>
        <v>676100.658698874</v>
      </c>
      <c r="Z60" s="61" t="n">
        <f aca="false">Z15+Z30+Z45</f>
        <v>688634.239087364</v>
      </c>
      <c r="AA60" s="61" t="n">
        <f aca="false">AA15+AA30+AA45</f>
        <v>700227.26126532</v>
      </c>
      <c r="AB60" s="61" t="n">
        <f aca="false">AB15+AB30+AB45</f>
        <v>710061.809331988</v>
      </c>
    </row>
    <row r="61" customFormat="false" ht="15" hidden="false" customHeight="false" outlineLevel="0" collapsed="false">
      <c r="A61" s="59" t="s">
        <v>334</v>
      </c>
      <c r="B61" s="60"/>
      <c r="C61" s="61" t="n">
        <f aca="false">P61</f>
        <v>6888751.60711238</v>
      </c>
      <c r="D61" s="61" t="n">
        <f aca="false">AB61</f>
        <v>8520741.71198385</v>
      </c>
      <c r="E61" s="61" t="n">
        <f aca="false">12*E60</f>
        <v>5672193.12</v>
      </c>
      <c r="F61" s="61" t="n">
        <f aca="false">12*F60</f>
        <v>5655546</v>
      </c>
      <c r="G61" s="61" t="n">
        <f aca="false">12*G60</f>
        <v>5786401.68</v>
      </c>
      <c r="H61" s="61" t="n">
        <f aca="false">12*H60</f>
        <v>6026663.52</v>
      </c>
      <c r="I61" s="61" t="n">
        <f aca="false">12*I60</f>
        <v>6077239.56</v>
      </c>
      <c r="J61" s="61" t="n">
        <f aca="false">12*J60</f>
        <v>6166608.48</v>
      </c>
      <c r="K61" s="61" t="n">
        <f aca="false">12*K60</f>
        <v>6351207.48</v>
      </c>
      <c r="L61" s="61" t="n">
        <f aca="false">12*L60</f>
        <v>6401680.32</v>
      </c>
      <c r="M61" s="61" t="n">
        <f aca="false">12*M60</f>
        <v>6509083.49026704</v>
      </c>
      <c r="N61" s="61" t="n">
        <f aca="false">12*N60</f>
        <v>6618822.81906614</v>
      </c>
      <c r="O61" s="61" t="n">
        <f aca="false">12*O60</f>
        <v>6762424.69802707</v>
      </c>
      <c r="P61" s="61" t="n">
        <f aca="false">12*P60</f>
        <v>6888751.60711238</v>
      </c>
      <c r="Q61" s="61" t="n">
        <f aca="false">12*Q60</f>
        <v>7131877.11721628</v>
      </c>
      <c r="R61" s="61" t="n">
        <f aca="false">12*R60</f>
        <v>7267083.58639198</v>
      </c>
      <c r="S61" s="61" t="n">
        <f aca="false">12*S60</f>
        <v>7401896.83522605</v>
      </c>
      <c r="T61" s="61" t="n">
        <f aca="false">12*T60</f>
        <v>7531725.25946192</v>
      </c>
      <c r="U61" s="61" t="n">
        <f aca="false">12*U60</f>
        <v>7625724.38690758</v>
      </c>
      <c r="V61" s="61" t="n">
        <f aca="false">12*V60</f>
        <v>7755384.29292553</v>
      </c>
      <c r="W61" s="61" t="n">
        <f aca="false">12*W60</f>
        <v>7871467.36645468</v>
      </c>
      <c r="X61" s="61" t="n">
        <f aca="false">12*X60</f>
        <v>7965506.51506843</v>
      </c>
      <c r="Y61" s="61" t="n">
        <f aca="false">12*Y60</f>
        <v>8113207.90438649</v>
      </c>
      <c r="Z61" s="61" t="n">
        <f aca="false">12*Z60</f>
        <v>8263610.86904836</v>
      </c>
      <c r="AA61" s="61" t="n">
        <f aca="false">12*AA60</f>
        <v>8402727.13518383</v>
      </c>
      <c r="AB61" s="61" t="n">
        <f aca="false">12*AB60</f>
        <v>8520741.71198385</v>
      </c>
    </row>
    <row r="62" customFormat="false" ht="15" hidden="false" customHeight="false" outlineLevel="0" collapsed="false">
      <c r="A62" s="28" t="s">
        <v>746</v>
      </c>
      <c r="B62" s="63"/>
      <c r="C62" s="64" t="n">
        <f aca="false">SUM(E62:P62)</f>
        <v>1454584.48711238</v>
      </c>
      <c r="D62" s="64" t="n">
        <f aca="false">SUM(Q62:AB62)</f>
        <v>1631990.10487147</v>
      </c>
      <c r="E62" s="74" t="n">
        <f aca="false">12*(E60-E54)</f>
        <v>238026</v>
      </c>
      <c r="F62" s="74" t="n">
        <f aca="false">12*(F60-F54)</f>
        <v>-16647.1200000001</v>
      </c>
      <c r="G62" s="74" t="n">
        <f aca="false">12*(G60-G54)</f>
        <v>130855.68</v>
      </c>
      <c r="H62" s="74" t="n">
        <f aca="false">12*(H60-H54)</f>
        <v>240261.84</v>
      </c>
      <c r="I62" s="74" t="n">
        <f aca="false">12*(I60-I54)</f>
        <v>50576.0400000005</v>
      </c>
      <c r="J62" s="74" t="n">
        <f aca="false">12*(J60-J54)</f>
        <v>89368.919999999</v>
      </c>
      <c r="K62" s="74" t="n">
        <f aca="false">12*(K60-K54)</f>
        <v>184599.000000001</v>
      </c>
      <c r="L62" s="74" t="n">
        <f aca="false">12*(L60-L54)</f>
        <v>50472.8399999994</v>
      </c>
      <c r="M62" s="74" t="n">
        <f aca="false">12*(M60-M54)</f>
        <v>107403.17026704</v>
      </c>
      <c r="N62" s="74" t="n">
        <f aca="false">12*(N60-N54)</f>
        <v>109739.328799099</v>
      </c>
      <c r="O62" s="74" t="n">
        <f aca="false">12*(O60-O54)</f>
        <v>143601.878960931</v>
      </c>
      <c r="P62" s="74" t="n">
        <f aca="false">12*(P60-P54)</f>
        <v>126326.909085314</v>
      </c>
      <c r="Q62" s="74" t="n">
        <f aca="false">12*(Q60-Q54)</f>
        <v>243125.510103899</v>
      </c>
      <c r="R62" s="74" t="n">
        <f aca="false">12*(R60-R54)</f>
        <v>135206.4691757</v>
      </c>
      <c r="S62" s="74" t="n">
        <f aca="false">12*(S60-S54)</f>
        <v>134813.248834065</v>
      </c>
      <c r="T62" s="74" t="n">
        <f aca="false">12*(T60-T54)</f>
        <v>129828.424235871</v>
      </c>
      <c r="U62" s="74" t="n">
        <f aca="false">12*(U60-U54)</f>
        <v>93999.1274456573</v>
      </c>
      <c r="V62" s="74" t="n">
        <f aca="false">12*(V60-V54)</f>
        <v>129659.906017955</v>
      </c>
      <c r="W62" s="74" t="n">
        <f aca="false">12*(W60-W54)</f>
        <v>116083.073529149</v>
      </c>
      <c r="X62" s="74" t="n">
        <f aca="false">12*(X60-X54)</f>
        <v>94039.1486137519</v>
      </c>
      <c r="Y62" s="74" t="n">
        <f aca="false">12*(Y60-Y54)</f>
        <v>147701.389318055</v>
      </c>
      <c r="Z62" s="74" t="n">
        <f aca="false">12*(Z60-Z54)</f>
        <v>150402.964661879</v>
      </c>
      <c r="AA62" s="74" t="n">
        <f aca="false">12*(AA60-AA54)</f>
        <v>139116.26613547</v>
      </c>
      <c r="AB62" s="74" t="n">
        <f aca="false">12*(AB60-AB54)</f>
        <v>118014.576800019</v>
      </c>
    </row>
    <row r="63" customFormat="false" ht="15" hidden="false" customHeight="false" outlineLevel="0" collapsed="false">
      <c r="A63" s="28" t="s">
        <v>340</v>
      </c>
      <c r="B63" s="63"/>
      <c r="C63" s="68" t="n">
        <f aca="false">P63</f>
        <v>1028.4339742658</v>
      </c>
      <c r="D63" s="68" t="n">
        <f aca="false">AB63</f>
        <v>1146.47839414742</v>
      </c>
      <c r="E63" s="80" t="n">
        <f aca="false">E17+E32+E47</f>
        <v>909</v>
      </c>
      <c r="F63" s="80" t="n">
        <f aca="false">F17+F32+F47</f>
        <v>919</v>
      </c>
      <c r="G63" s="80" t="n">
        <f aca="false">G17+G32+G47</f>
        <v>941</v>
      </c>
      <c r="H63" s="80" t="n">
        <f aca="false">H17+H32+H47</f>
        <v>954</v>
      </c>
      <c r="I63" s="80" t="n">
        <f aca="false">I17+I32+I47</f>
        <v>951</v>
      </c>
      <c r="J63" s="80" t="n">
        <f aca="false">J17+J32+J47</f>
        <v>954</v>
      </c>
      <c r="K63" s="80" t="n">
        <f aca="false">K17+K32+K47</f>
        <v>979</v>
      </c>
      <c r="L63" s="80" t="n">
        <f aca="false">L17+L32+L47</f>
        <v>977</v>
      </c>
      <c r="M63" s="80" t="n">
        <f aca="false">M17+M32+M47</f>
        <v>992.40731</v>
      </c>
      <c r="N63" s="80" t="n">
        <f aca="false">N17+N32+N47</f>
        <v>1009.025752</v>
      </c>
      <c r="O63" s="80" t="n">
        <f aca="false">O17+O32+O47</f>
        <v>1021.62593162</v>
      </c>
      <c r="P63" s="80" t="n">
        <f aca="false">P17+P32+P47</f>
        <v>1028.4339742658</v>
      </c>
      <c r="Q63" s="80" t="n">
        <f aca="false">Q17+Q32+Q47</f>
        <v>1045.61913745085</v>
      </c>
      <c r="R63" s="80" t="n">
        <f aca="false">R17+R32+R47</f>
        <v>1059.75013074305</v>
      </c>
      <c r="S63" s="80" t="n">
        <f aca="false">S17+S32+S47</f>
        <v>1071.55216230711</v>
      </c>
      <c r="T63" s="80" t="n">
        <f aca="false">T17+T32+T47</f>
        <v>1081.59858233924</v>
      </c>
      <c r="U63" s="80" t="n">
        <f aca="false">U17+U32+U47</f>
        <v>1091.509010406</v>
      </c>
      <c r="V63" s="80" t="n">
        <f aca="false">V17+V32+V47</f>
        <v>1100.12763523406</v>
      </c>
      <c r="W63" s="80" t="n">
        <f aca="false">W17+W32+W47</f>
        <v>1104.77714485078</v>
      </c>
      <c r="X63" s="80" t="n">
        <f aca="false">X17+X32+X47</f>
        <v>1104.27939200198</v>
      </c>
      <c r="Y63" s="80" t="n">
        <f aca="false">Y17+Y32+Y47</f>
        <v>1117.29998916642</v>
      </c>
      <c r="Z63" s="80" t="n">
        <f aca="false">Z17+Z32+Z47</f>
        <v>1131.66294858739</v>
      </c>
      <c r="AA63" s="80" t="n">
        <f aca="false">AA17+AA32+AA47</f>
        <v>1141.90837207092</v>
      </c>
      <c r="AB63" s="80" t="n">
        <f aca="false">AB17+AB32+AB47</f>
        <v>1146.47839414742</v>
      </c>
    </row>
    <row r="64" customFormat="false" ht="15" hidden="false" customHeight="false" outlineLevel="0" collapsed="false">
      <c r="A64" s="28" t="s">
        <v>341</v>
      </c>
      <c r="B64" s="63"/>
      <c r="C64" s="64" t="n">
        <f aca="false">P64</f>
        <v>558.191044141513</v>
      </c>
      <c r="D64" s="64" t="n">
        <f aca="false">AB64</f>
        <v>619.34164041532</v>
      </c>
      <c r="E64" s="74" t="n">
        <f aca="false">IF(E63=0,0,E60/E63)</f>
        <v>520.00303630363</v>
      </c>
      <c r="F64" s="74" t="n">
        <f aca="false">IF(F63=0,0,F60/F63)</f>
        <v>512.835146898803</v>
      </c>
      <c r="G64" s="74" t="n">
        <f aca="false">IF(G63=0,0,G60/G63)</f>
        <v>512.433730074389</v>
      </c>
      <c r="H64" s="74" t="n">
        <f aca="false">IF(H63=0,0,H60/H63)</f>
        <v>526.438113207547</v>
      </c>
      <c r="I64" s="74" t="n">
        <f aca="false">IF(I63=0,0,I60/I63)</f>
        <v>532.530630914827</v>
      </c>
      <c r="J64" s="74" t="n">
        <f aca="false">IF(J63=0,0,J60/J63)</f>
        <v>538.66251572327</v>
      </c>
      <c r="K64" s="74" t="n">
        <f aca="false">IF(K63=0,0,K60/K63)</f>
        <v>540.620316649643</v>
      </c>
      <c r="L64" s="74" t="n">
        <f aca="false">IF(L63=0,0,L60/L63)</f>
        <v>546.03209825998</v>
      </c>
      <c r="M64" s="74" t="n">
        <f aca="false">IF(M63=0,0,M60/M63)</f>
        <v>546.573588004829</v>
      </c>
      <c r="N64" s="74" t="n">
        <f aca="false">IF(N63=0,0,N60/N63)</f>
        <v>546.634778311894</v>
      </c>
      <c r="O64" s="74" t="n">
        <f aca="false">IF(O63=0,0,O60/O63)</f>
        <v>551.606389443006</v>
      </c>
      <c r="P64" s="74" t="n">
        <f aca="false">IF(P63=0,0,P60/P63)</f>
        <v>558.191044141513</v>
      </c>
      <c r="Q64" s="74" t="n">
        <f aca="false">IF(Q63=0,0,Q60/Q63)</f>
        <v>568.393473124715</v>
      </c>
      <c r="R64" s="74" t="n">
        <f aca="false">IF(R63=0,0,R60/R63)</f>
        <v>571.44630729263</v>
      </c>
      <c r="S64" s="74" t="n">
        <f aca="false">IF(S63=0,0,S60/S63)</f>
        <v>575.636686636683</v>
      </c>
      <c r="T64" s="74" t="n">
        <f aca="false">IF(T63=0,0,T60/T63)</f>
        <v>580.292709208608</v>
      </c>
      <c r="U64" s="74" t="n">
        <f aca="false">IF(U63=0,0,U60/U63)</f>
        <v>582.200445606881</v>
      </c>
      <c r="V64" s="74" t="n">
        <f aca="false">IF(V63=0,0,V60/V63)</f>
        <v>587.460948813415</v>
      </c>
      <c r="W64" s="74" t="n">
        <f aca="false">IF(W63=0,0,W60/W63)</f>
        <v>593.744735694927</v>
      </c>
      <c r="X64" s="74" t="n">
        <f aca="false">IF(X63=0,0,X60/X63)</f>
        <v>601.108935290036</v>
      </c>
      <c r="Y64" s="74" t="n">
        <f aca="false">IF(Y63=0,0,Y60/Y63)</f>
        <v>605.120079884089</v>
      </c>
      <c r="Z64" s="74" t="n">
        <f aca="false">IF(Z63=0,0,Z60/Z63)</f>
        <v>608.515318052039</v>
      </c>
      <c r="AA64" s="74" t="n">
        <f aca="false">IF(AA63=0,0,AA60/AA63)</f>
        <v>613.2079231501</v>
      </c>
      <c r="AB64" s="74" t="n">
        <f aca="false">IF(AB63=0,0,AB60/AB63)</f>
        <v>619.34164041532</v>
      </c>
    </row>
    <row r="65" customFormat="false" ht="15" hidden="false" customHeight="false" outlineLevel="0" collapsed="false">
      <c r="A65" s="28" t="s">
        <v>339</v>
      </c>
      <c r="B65" s="63"/>
      <c r="C65" s="66" t="n">
        <f aca="false">P65</f>
        <v>0.267673859671873</v>
      </c>
      <c r="D65" s="66" t="n">
        <f aca="false">AB65</f>
        <v>0.236906510489723</v>
      </c>
      <c r="E65" s="67" t="n">
        <f aca="false">IF((History!$C$13+History!$C$24+History!$C$36)=0,0,E60/(History!$C$13+History!$C$24+History!$C$36)-1)</f>
        <v>0.304912280856738</v>
      </c>
      <c r="F65" s="67" t="n">
        <f aca="false">IF((History!$D$13+History!$D$24+History!$D$36)=0,0,F60/(History!$D$13+History!$D$24+History!$D$36)-1)</f>
        <v>0.267490486872675</v>
      </c>
      <c r="G65" s="67" t="n">
        <f aca="false">IF((History!$E$13+History!$E$24+History!$E$36)=0,0,G60/(History!$E$13+History!$E$24+History!$E$36)-1)</f>
        <v>0.244623021038356</v>
      </c>
      <c r="H65" s="67" t="n">
        <f aca="false">IF((History!$F$13+History!$F$24+History!$F$36)=0,0,H60/(History!$F$13+History!$F$24+History!$F$36)-1)</f>
        <v>0.290665983824052</v>
      </c>
      <c r="I65" s="67" t="n">
        <f aca="false">IF((History!$G$13+History!$G$24+History!$G$36)=0,0,I60/(History!$G$13+History!$G$24+History!$G$36)-1)</f>
        <v>0.259516708852285</v>
      </c>
      <c r="J65" s="67" t="n">
        <f aca="false">IF((History!$H$13+History!$H$24+History!$H$36)=0,0,J60/(History!$H$13+History!$H$24+History!$H$36)-1)</f>
        <v>0.263854168096202</v>
      </c>
      <c r="K65" s="67" t="n">
        <f aca="false">IF((History!$I$13+History!$I$24+History!$I$36)=0,0,K60/(History!$I$13+History!$I$24+History!$I$36)-1)</f>
        <v>0.260040360446667</v>
      </c>
      <c r="L65" s="67" t="n">
        <f aca="false">IF((History!$J$13+History!$J$24+History!$J$36)=0,0,L60/(History!$J$13+History!$J$24+History!$J$36)-1)</f>
        <v>0.254502938058558</v>
      </c>
      <c r="M65" s="67" t="n">
        <f aca="false">IF((History!$K$13+History!$K$24+History!$K$36)=0,0,M60/(History!$K$13+History!$K$24+History!$K$36)-1)</f>
        <v>0.254689844854365</v>
      </c>
      <c r="N65" s="67" t="n">
        <f aca="false">IF((History!$L$13+History!$L$24+History!$L$36)=0,0,N60/(History!$L$13+History!$L$24+History!$L$36)-1)</f>
        <v>0.27095142784532</v>
      </c>
      <c r="O65" s="67" t="n">
        <f aca="false">IF((History!$M$13+History!$M$24+History!$M$36)=0,0,O60/(History!$M$13+History!$M$24+History!$M$36)-1)</f>
        <v>0.264034083805234</v>
      </c>
      <c r="P65" s="67" t="n">
        <f aca="false">IF((History!$N$13+History!$N$24+History!$N$36)=0,0,P60/(History!$N$13+History!$N$24+History!$N$36)-1)</f>
        <v>0.267673859671873</v>
      </c>
      <c r="Q65" s="75" t="n">
        <f aca="false">IF(E60=0,0,Q60/E60-1)</f>
        <v>0.257340320813386</v>
      </c>
      <c r="R65" s="75" t="n">
        <f aca="false">IF(F60=0,0,R60/F60-1)</f>
        <v>0.284948188272535</v>
      </c>
      <c r="S65" s="75" t="n">
        <f aca="false">IF(G60=0,0,S60/G60-1)</f>
        <v>0.279188214812292</v>
      </c>
      <c r="T65" s="75" t="n">
        <f aca="false">IF(H60=0,0,T60/H60-1)</f>
        <v>0.249733826099174</v>
      </c>
      <c r="U65" s="75" t="n">
        <f aca="false">IF(I60=0,0,U60/I60-1)</f>
        <v>0.25480068896734</v>
      </c>
      <c r="V65" s="75" t="n">
        <f aca="false">IF(J60=0,0,V60/J60-1)</f>
        <v>0.257641752038964</v>
      </c>
      <c r="W65" s="75" t="n">
        <f aca="false">IF(K60=0,0,W60/K60-1)</f>
        <v>0.239365489356471</v>
      </c>
      <c r="X65" s="75" t="n">
        <f aca="false">IF(L60=0,0,X60/L60-1)</f>
        <v>0.244283706292355</v>
      </c>
      <c r="Y65" s="75" t="n">
        <f aca="false">IF(M60=0,0,Y60/M60-1)</f>
        <v>0.246443975794453</v>
      </c>
      <c r="Z65" s="75" t="n">
        <f aca="false">IF(N60=0,0,Z60/N60-1)</f>
        <v>0.248501598387595</v>
      </c>
      <c r="AA65" s="75" t="n">
        <f aca="false">IF(O60=0,0,AA60/O60-1)</f>
        <v>0.242561286876188</v>
      </c>
      <c r="AB65" s="75" t="n">
        <f aca="false">IF(P60=0,0,AB60/P60-1)</f>
        <v>0.236906510489723</v>
      </c>
    </row>
    <row r="66" customFormat="false" ht="15" hidden="false" customHeight="false" outlineLevel="0" collapsed="false">
      <c r="A66" s="59" t="s">
        <v>747</v>
      </c>
      <c r="B66" s="60" t="s">
        <v>741</v>
      </c>
      <c r="C66" s="77" t="n">
        <f aca="false">P66</f>
        <v>0.922834853027557</v>
      </c>
      <c r="D66" s="77" t="n">
        <f aca="false">AB66</f>
        <v>0.948492162968659</v>
      </c>
      <c r="E66" s="116" t="n">
        <f aca="false">IF((History!$C$13+History!$C$24+History!$C$36)=0,0,((History!$C$13+History!$C$24+History!$C$36)+SUM(E56:E56)+SUM(History!$D$9:$N$9)+SUM(History!$D$20:$N$20)+SUM(History!$D$32:$N$32)+SUM(E57:E57)+SUM(History!$D$10:$N$10)+SUM(History!$D$21:$N$21)+SUM(History!$D$33:$N$33)+SUM(E58:E58)+SUM(History!$D$11:$N$11)+SUM(History!$D$22:$N$22)+SUM(History!$D$34:$N$34)+SUM(E59:E59)+SUM(History!$D$12:$N$12)+SUM(History!$D$23:$N$23)+SUM(History!$D$35:$N$35))/(History!$C$13+History!$C$24+History!$C$36))</f>
        <v>0.963638219295981</v>
      </c>
      <c r="F66" s="116" t="n">
        <f aca="false">IF((History!$D$13+History!$D$24+History!$D$36)=0,0,((History!$D$13+History!$D$24+History!$D$36)+SUM(E56:F56)+SUM(History!$E$9:$N$9)+SUM(History!$E$20:$N$20)+SUM(History!$E$32:$N$32)+SUM(E57:F57)+SUM(History!$E$10:$N$10)+SUM(History!$E$21:$N$21)+SUM(History!$E$33:$N$33)+SUM(E58:F58)+SUM(History!$E$11:$N$11)+SUM(History!$E$22:$N$22)+SUM(History!$E$34:$N$34)+SUM(E59:F59)+SUM(History!$E$12:$N$12)+SUM(History!$E$23:$N$23)+SUM(History!$E$35:$N$35))/(History!$D$13+History!$D$24+History!$D$36))</f>
        <v>0.933157916138608</v>
      </c>
      <c r="G66" s="116" t="n">
        <f aca="false">IF((History!$E$13+History!$E$24+History!$E$36)=0,0,((History!$E$13+History!$E$24+History!$E$36)+SUM(E56:G56)+SUM(History!$F$9:$N$9)+SUM(History!$F$20:$N$20)+SUM(History!$F$32:$N$32)+SUM(E57:G57)+SUM(History!$F$10:$N$10)+SUM(History!$F$21:$N$21)+SUM(History!$F$33:$N$33)+SUM(E58:G58)+SUM(History!$F$11:$N$11)+SUM(History!$F$22:$N$22)+SUM(History!$F$34:$N$34)+SUM(E59:G59)+SUM(History!$F$12:$N$12)+SUM(History!$F$23:$N$23)+SUM(History!$F$35:$N$35))/(History!$E$13+History!$E$24+History!$E$36))</f>
        <v>0.923455267636977</v>
      </c>
      <c r="H66" s="116" t="n">
        <f aca="false">IF((History!$F$13+History!$F$24+History!$F$36)=0,0,((History!$F$13+History!$F$24+History!$F$36)+SUM(E56:H56)+SUM(History!$G$9:$N$9)+SUM(History!$G$20:$N$20)+SUM(History!$G$32:$N$32)+SUM(E57:H57)+SUM(History!$G$10:$N$10)+SUM(History!$G$21:$N$21)+SUM(History!$G$33:$N$33)+SUM(E58:H58)+SUM(History!$G$11:$N$11)+SUM(History!$G$22:$N$22)+SUM(History!$G$34:$N$34)+SUM(E59:H59)+SUM(History!$G$12:$N$12)+SUM(History!$G$23:$N$23)+SUM(History!$G$35:$N$35))/(History!$F$13+History!$F$24+History!$F$36))</f>
        <v>0.931787199198927</v>
      </c>
      <c r="I66" s="116" t="n">
        <f aca="false">IF((History!$G$13+History!$G$24+History!$G$36)=0,0,((History!$G$13+History!$G$24+History!$G$36)+SUM(E56:I56)+SUM(History!$H$9:$N$9)+SUM(History!$H$20:$N$20)+SUM(History!$H$32:$N$32)+SUM(E57:I57)+SUM(History!$H$10:$N$10)+SUM(History!$H$21:$N$21)+SUM(History!$H$33:$N$33)+SUM(E58:I58)+SUM(History!$H$11:$N$11)+SUM(History!$H$22:$N$22)+SUM(History!$H$34:$N$34)+SUM(E59:I59)+SUM(History!$H$12:$N$12)+SUM(History!$H$23:$N$23)+SUM(History!$H$35:$N$35))/(History!$G$13+History!$G$24+History!$G$36))</f>
        <v>0.928964391531547</v>
      </c>
      <c r="J66" s="116" t="n">
        <f aca="false">IF((History!$H$13+History!$H$24+History!$H$36)=0,0,((History!$H$13+History!$H$24+History!$H$36)+SUM(E56:J56)+SUM(History!$I$9:$N$9)+SUM(History!$I$20:$N$20)+SUM(History!$I$32:$N$32)+SUM(E57:J57)+SUM(History!$I$10:$N$10)+SUM(History!$I$21:$N$21)+SUM(History!$I$33:$N$33)+SUM(E58:J58)+SUM(History!$I$11:$N$11)+SUM(History!$I$22:$N$22)+SUM(History!$I$34:$N$34)+SUM(E59:J59)+SUM(History!$I$12:$N$12)+SUM(History!$I$23:$N$23)+SUM(History!$I$35:$N$35))/(History!$H$13+History!$H$24+History!$H$36))</f>
        <v>0.924762237274826</v>
      </c>
      <c r="K66" s="116" t="n">
        <f aca="false">IF((History!$I$13+History!$I$24+History!$I$36)=0,0,((History!$I$13+History!$I$24+History!$I$36)+SUM(E56:K56)+SUM(History!$J$9:$N$9)+SUM(History!$J$20:$N$20)+SUM(History!$J$32:$N$32)+SUM(E57:K57)+SUM(History!$J$10:$N$10)+SUM(History!$J$21:$N$21)+SUM(History!$J$33:$N$33)+SUM(E58:K58)+SUM(History!$J$11:$N$11)+SUM(History!$J$22:$N$22)+SUM(History!$J$34:$N$34)+SUM(E59:K59)+SUM(History!$J$12:$N$12)+SUM(History!$J$23:$N$23)+SUM(History!$J$35:$N$35))/(History!$I$13+History!$I$24+History!$I$36))</f>
        <v>0.928759395386082</v>
      </c>
      <c r="L66" s="116" t="n">
        <f aca="false">IF((History!$J$13+History!$J$24+History!$J$36)=0,0,((History!$J$13+History!$J$24+History!$J$36)+SUM(E56:L56)+SUM(History!$K$9:$N$9)+SUM(History!$K$20:$N$20)+SUM(History!$K$32:$N$32)+SUM(E57:L57)+SUM(History!$K$10:$N$10)+SUM(History!$K$21:$N$21)+SUM(History!$K$33:$N$33)+SUM(E58:L58)+SUM(History!$K$11:$N$11)+SUM(History!$K$22:$N$22)+SUM(History!$K$34:$N$34)+SUM(E59:L59)+SUM(History!$K$12:$N$12)+SUM(History!$K$23:$N$23)+SUM(History!$K$35:$N$35))/(History!$J$13+History!$J$24+History!$J$36))</f>
        <v>0.92439209419095</v>
      </c>
      <c r="M66" s="116" t="n">
        <f aca="false">IF((History!$K$13+History!$K$24+History!$K$36)=0,0,((History!$K$13+History!$K$24+History!$K$36)+SUM(E56:M56)+SUM(History!$L$9:$N$9)+SUM(History!$L$20:$N$20)+SUM(History!$L$32:$N$32)+SUM(E57:M57)+SUM(History!$L$10:$N$10)+SUM(History!$L$21:$N$21)+SUM(History!$L$33:$N$33)+SUM(E58:M58)+SUM(History!$L$11:$N$11)+SUM(History!$L$22:$N$22)+SUM(History!$L$34:$N$34)+SUM(E59:M59)+SUM(History!$L$12:$N$12)+SUM(History!$L$23:$N$23)+SUM(History!$L$35:$N$35))/(History!$K$13+History!$K$24+History!$K$36))</f>
        <v>0.922210764924804</v>
      </c>
      <c r="N66" s="116" t="n">
        <f aca="false">IF((History!$L$13+History!$L$24+History!$L$36)=0,0,((History!$L$13+History!$L$24+History!$L$36)+SUM(E56:N56)+SUM(History!$M$9:$N$9)+SUM(History!$M$20:$N$20)+SUM(History!$M$32:$N$32)+SUM(E57:N57)+SUM(History!$M$10:$N$10)+SUM(History!$M$21:$N$21)+SUM(History!$M$33:$N$33)+SUM(E58:N58)+SUM(History!$M$11:$N$11)+SUM(History!$M$22:$N$22)+SUM(History!$M$34:$N$34)+SUM(E59:N59)+SUM(History!$M$12:$N$12)+SUM(History!$M$23:$N$23)+SUM(History!$M$35:$N$35))/(History!$L$13+History!$L$24+History!$L$36))</f>
        <v>0.926052560305454</v>
      </c>
      <c r="O66" s="116" t="n">
        <f aca="false">IF((History!$M$13+History!$M$24+History!$M$36)=0,0,((History!$M$13+History!$M$24+History!$M$36)+SUM(E56:O56)+SUM(History!$N$9:$N$9)+SUM(History!$N$20:$N$20)+SUM(History!$N$32:$N$32)+SUM(E57:O57)+SUM(History!$N$10:$N$10)+SUM(History!$N$21:$N$21)+SUM(History!$N$33:$N$33)+SUM(E58:O58)+SUM(History!$N$11:$N$11)+SUM(History!$N$22:$N$22)+SUM(History!$N$34:$N$34)+SUM(E59:O59)+SUM(History!$N$12:$N$12)+SUM(History!$N$23:$N$23)+SUM(History!$N$35:$N$35))/(History!$M$13+History!$M$24+History!$M$36))</f>
        <v>0.924685143730504</v>
      </c>
      <c r="P66" s="116" t="n">
        <f aca="false">IF((History!$N$13+History!$N$24+History!$N$36)=0,0,((History!$N$13+History!$N$24+History!$N$36)+SUM(E56:P56)+SUM(E57:P57)+SUM(E58:P58)+SUM(E59:P59))/(History!$N$13+History!$N$24+History!$N$36))</f>
        <v>0.922834853027557</v>
      </c>
      <c r="Q66" s="77" t="n">
        <f aca="false">IF(E60=0,0,(E60+SUM(F56:Q56)+SUM(F57:Q57)+SUM(F58:Q58)+SUM(F59:Q59))/E60)</f>
        <v>0.923981713663212</v>
      </c>
      <c r="R66" s="77" t="n">
        <f aca="false">IF(F60=0,0,(F60+SUM(G56:R56)+SUM(G57:R57)+SUM(G58:R58)+SUM(G59:R59))/F60)</f>
        <v>0.943776782212006</v>
      </c>
      <c r="S66" s="77" t="n">
        <f aca="false">IF(G60=0,0,(G60+SUM(H56:S56)+SUM(H57:S57)+SUM(H58:S58)+SUM(H59:S59))/G60)</f>
        <v>0.944795045380611</v>
      </c>
      <c r="T66" s="77" t="n">
        <f aca="false">IF(H60=0,0,(H60+SUM(I56:T56)+SUM(I57:T57)+SUM(I58:T58)+SUM(I59:T59))/H60)</f>
        <v>0.944918627168008</v>
      </c>
      <c r="U66" s="77" t="n">
        <f aca="false">IF(I60=0,0,(I60+SUM(J56:U56)+SUM(J57:U57)+SUM(J58:U58)+SUM(J59:U59))/I60)</f>
        <v>0.945937958846495</v>
      </c>
      <c r="V66" s="77" t="n">
        <f aca="false">IF(J60=0,0,(J60+SUM(K56:V56)+SUM(K57:V57)+SUM(K58:V58)+SUM(K59:V59))/J60)</f>
        <v>0.947193226482497</v>
      </c>
      <c r="W66" s="77" t="n">
        <f aca="false">IF(K60=0,0,(K60+SUM(L56:W56)+SUM(L57:W57)+SUM(L58:W58)+SUM(L59:W59))/K60)</f>
        <v>0.945095320057892</v>
      </c>
      <c r="X66" s="77" t="n">
        <f aca="false">IF(L60=0,0,(L60+SUM(M56:X56)+SUM(M57:X57)+SUM(M58:X58)+SUM(M59:X59))/L60)</f>
        <v>0.948858209253478</v>
      </c>
      <c r="Y66" s="77" t="n">
        <f aca="false">IF(M60=0,0,(M60+SUM(N56:Y56)+SUM(N57:Y57)+SUM(N58:Y58)+SUM(N59:Y59))/M60)</f>
        <v>0.948097366104503</v>
      </c>
      <c r="Z66" s="77" t="n">
        <f aca="false">IF(N60=0,0,(N60+SUM(O56:Z56)+SUM(O57:Z57)+SUM(O58:Z58)+SUM(O59:Z59))/N60)</f>
        <v>0.947397871478768</v>
      </c>
      <c r="AA66" s="77" t="n">
        <f aca="false">IF(O60=0,0,(O60+SUM(P56:AA56)+SUM(P57:AA57)+SUM(P58:AA58)+SUM(P59:AA59))/O60)</f>
        <v>0.948068310667371</v>
      </c>
      <c r="AB66" s="77" t="n">
        <f aca="false">IF(P60=0,0,(P60+SUM(Q56:AB56)+SUM(Q57:AB57)+SUM(Q58:AB58)+SUM(Q59:AB59))/P60)</f>
        <v>0.948492162968659</v>
      </c>
    </row>
    <row r="67" customFormat="false" ht="15" hidden="false" customHeight="false" outlineLevel="0" collapsed="false">
      <c r="A67" s="59" t="s">
        <v>748</v>
      </c>
      <c r="B67" s="60" t="s">
        <v>741</v>
      </c>
      <c r="C67" s="77" t="n">
        <f aca="false">P67</f>
        <v>0.775953092785899</v>
      </c>
      <c r="D67" s="77" t="n">
        <f aca="false">AB67</f>
        <v>0.803017500054859</v>
      </c>
      <c r="E67" s="116" t="n">
        <f aca="false">IF((History!$C$13+History!$C$24+History!$C$36)=0,0,((History!$C$13+History!$C$24+History!$C$36)+SUM(E58:E58)+SUM(History!$D$11:$N$11)+SUM(History!$D$22:$N$22)+SUM(History!$D$34:$N$34)+SUM(E59:E59)+SUM(History!$D$12:$N$12)+SUM(History!$D$23:$N$23)+SUM(History!$D$35:$N$35))/(History!$C$13+History!$C$24+History!$C$36))</f>
        <v>0.815573005203055</v>
      </c>
      <c r="F67" s="116" t="n">
        <f aca="false">IF((History!$D$13+History!$D$24+History!$D$36)=0,0,((History!$D$13+History!$D$24+History!$D$36)+SUM(E58:F58)+SUM(History!$E$11:$N$11)+SUM(History!$E$22:$N$22)+SUM(History!$E$34:$N$34)+SUM(E59:F59)+SUM(History!$E$12:$N$12)+SUM(History!$E$23:$N$23)+SUM(History!$E$35:$N$35))/(History!$D$13+History!$D$24+History!$D$36))</f>
        <v>0.789413521469122</v>
      </c>
      <c r="G67" s="116" t="n">
        <f aca="false">IF((History!$E$13+History!$E$24+History!$E$36)=0,0,((History!$E$13+History!$E$24+History!$E$36)+SUM(E58:G58)+SUM(History!$F$11:$N$11)+SUM(History!$F$22:$N$22)+SUM(History!$F$34:$N$34)+SUM(E59:G59)+SUM(History!$F$12:$N$12)+SUM(History!$F$23:$N$23)+SUM(History!$F$35:$N$35))/(History!$E$13+History!$E$24+History!$E$36))</f>
        <v>0.781530677315805</v>
      </c>
      <c r="H67" s="116" t="n">
        <f aca="false">IF((History!$F$13+History!$F$24+History!$F$36)=0,0,((History!$F$13+History!$F$24+History!$F$36)+SUM(E58:H58)+SUM(History!$G$11:$N$11)+SUM(History!$G$22:$N$22)+SUM(History!$G$34:$N$34)+SUM(E59:H59)+SUM(History!$G$12:$N$12)+SUM(History!$G$23:$N$23)+SUM(History!$G$35:$N$35))/(History!$F$13+History!$F$24+History!$F$36))</f>
        <v>0.787418438076672</v>
      </c>
      <c r="I67" s="116" t="n">
        <f aca="false">IF((History!$G$13+History!$G$24+History!$G$36)=0,0,((History!$G$13+History!$G$24+History!$G$36)+SUM(E58:I58)+SUM(History!$H$11:$N$11)+SUM(History!$H$22:$N$22)+SUM(History!$H$34:$N$34)+SUM(E59:I59)+SUM(History!$H$12:$N$12)+SUM(History!$H$23:$N$23)+SUM(History!$H$35:$N$35))/(History!$G$13+History!$G$24+History!$G$36))</f>
        <v>0.783213134953572</v>
      </c>
      <c r="J67" s="116" t="n">
        <f aca="false">IF((History!$H$13+History!$H$24+History!$H$36)=0,0,((History!$H$13+History!$H$24+History!$H$36)+SUM(E58:J58)+SUM(History!$I$11:$N$11)+SUM(History!$I$22:$N$22)+SUM(History!$I$34:$N$34)+SUM(E59:J59)+SUM(History!$I$12:$N$12)+SUM(History!$I$23:$N$23)+SUM(History!$I$35:$N$35))/(History!$H$13+History!$H$24+History!$H$36))</f>
        <v>0.778130876003816</v>
      </c>
      <c r="K67" s="116" t="n">
        <f aca="false">IF((History!$I$13+History!$I$24+History!$I$36)=0,0,((History!$I$13+History!$I$24+History!$I$36)+SUM(E58:K58)+SUM(History!$J$11:$N$11)+SUM(History!$J$22:$N$22)+SUM(History!$J$34:$N$34)+SUM(E59:K59)+SUM(History!$J$12:$N$12)+SUM(History!$J$23:$N$23)+SUM(History!$J$35:$N$35))/(History!$I$13+History!$I$24+History!$I$36))</f>
        <v>0.783611225551284</v>
      </c>
      <c r="L67" s="116" t="n">
        <f aca="false">IF((History!$J$13+History!$J$24+History!$J$36)=0,0,((History!$J$13+History!$J$24+History!$J$36)+SUM(E58:L58)+SUM(History!$K$11:$N$11)+SUM(History!$K$22:$N$22)+SUM(History!$K$34:$N$34)+SUM(E59:L59)+SUM(History!$K$12:$N$12)+SUM(History!$K$23:$N$23)+SUM(History!$K$35:$N$35))/(History!$J$13+History!$J$24+History!$J$36))</f>
        <v>0.778307279443373</v>
      </c>
      <c r="M67" s="116" t="n">
        <f aca="false">IF((History!$K$13+History!$K$24+History!$K$36)=0,0,((History!$K$13+History!$K$24+History!$K$36)+SUM(E58:M58)+SUM(History!$L$11:$N$11)+SUM(History!$L$22:$N$22)+SUM(History!$L$34:$N$34)+SUM(E59:M59)+SUM(History!$L$12:$N$12)+SUM(History!$L$23:$N$23)+SUM(History!$L$35:$N$35))/(History!$K$13+History!$K$24+History!$K$36))</f>
        <v>0.776921224273213</v>
      </c>
      <c r="N67" s="116" t="n">
        <f aca="false">IF((History!$L$13+History!$L$24+History!$L$36)=0,0,((History!$L$13+History!$L$24+History!$L$36)+SUM(E58:N58)+SUM(History!$M$11:$N$11)+SUM(History!$M$22:$N$22)+SUM(History!$M$34:$N$34)+SUM(E59:N59)+SUM(History!$M$12:$N$12)+SUM(History!$M$23:$N$23)+SUM(History!$M$35:$N$35))/(History!$L$13+History!$L$24+History!$L$36))</f>
        <v>0.779104000257139</v>
      </c>
      <c r="O67" s="116" t="n">
        <f aca="false">IF((History!$M$13+History!$M$24+History!$M$36)=0,0,((History!$M$13+History!$M$24+History!$M$36)+SUM(E58:O58)+SUM(History!$N$11:$N$11)+SUM(History!$N$22:$N$22)+SUM(History!$N$34:$N$34)+SUM(E59:O59)+SUM(History!$N$12:$N$12)+SUM(History!$N$23:$N$23)+SUM(History!$N$35:$N$35))/(History!$M$13+History!$M$24+History!$M$36))</f>
        <v>0.778574859315625</v>
      </c>
      <c r="P67" s="116" t="n">
        <f aca="false">IF((History!$N$13+History!$N$24+History!$N$36)=0,0,((History!$N$13+History!$N$24+History!$N$36)+SUM(E58:P58)+SUM(E59:P59))/(History!$N$13+History!$N$24+History!$N$36))</f>
        <v>0.775953092785899</v>
      </c>
      <c r="Q67" s="77" t="n">
        <f aca="false">IF(E60=0,0,(E60+SUM(F58:Q58)+SUM(F59:Q59))/E60)</f>
        <v>0.776032103846483</v>
      </c>
      <c r="R67" s="77" t="n">
        <f aca="false">IF(F60=0,0,(F60+SUM(G58:R58)+SUM(G59:R59))/F60)</f>
        <v>0.792852299896893</v>
      </c>
      <c r="S67" s="77" t="n">
        <f aca="false">IF(G60=0,0,(G60+SUM(H58:S58)+SUM(H59:S59))/G60)</f>
        <v>0.795305570853487</v>
      </c>
      <c r="T67" s="77" t="n">
        <f aca="false">IF(H60=0,0,(H60+SUM(I58:T58)+SUM(I59:T59))/H60)</f>
        <v>0.796973522614146</v>
      </c>
      <c r="U67" s="77" t="n">
        <f aca="false">IF(I60=0,0,(I60+SUM(J58:U58)+SUM(J59:U59))/I60)</f>
        <v>0.798697965084041</v>
      </c>
      <c r="V67" s="77" t="n">
        <f aca="false">IF(J60=0,0,(J60+SUM(K58:V58)+SUM(K59:V59))/J60)</f>
        <v>0.800744195920061</v>
      </c>
      <c r="W67" s="77" t="n">
        <f aca="false">IF(K60=0,0,(K60+SUM(L58:W58)+SUM(L59:W59))/K60)</f>
        <v>0.799458228165089</v>
      </c>
      <c r="X67" s="77" t="n">
        <f aca="false">IF(L60=0,0,(L60+SUM(M58:X58)+SUM(M59:X59))/L60)</f>
        <v>0.80210979891525</v>
      </c>
      <c r="Y67" s="77" t="n">
        <f aca="false">IF(M60=0,0,(M60+SUM(N58:Y58)+SUM(N59:Y59))/M60)</f>
        <v>0.801639759969517</v>
      </c>
      <c r="Z67" s="77" t="n">
        <f aca="false">IF(N60=0,0,(N60+SUM(O58:Z58)+SUM(O59:Z59))/N60)</f>
        <v>0.801296969528037</v>
      </c>
      <c r="AA67" s="77" t="n">
        <f aca="false">IF(O60=0,0,(O60+SUM(P58:AA58)+SUM(P59:AA59))/O60)</f>
        <v>0.802423317908727</v>
      </c>
      <c r="AB67" s="77" t="n">
        <f aca="false">IF(P60=0,0,(P60+SUM(Q58:AB58)+SUM(Q59:AB59))/P60)</f>
        <v>0.803017500054859</v>
      </c>
    </row>
    <row r="68" customFormat="false" ht="15" hidden="false" customHeight="false" outlineLevel="0" collapsed="false">
      <c r="A68" s="28" t="s">
        <v>749</v>
      </c>
      <c r="B68" s="63"/>
      <c r="C68" s="70" t="n">
        <f aca="false">AVERAGE(E68:P68)</f>
        <v>0.0278122973507679</v>
      </c>
      <c r="D68" s="70" t="n">
        <f aca="false">AVERAGE(Q68:AB68)</f>
        <v>0.0259031347503839</v>
      </c>
      <c r="E68" s="71" t="n">
        <f aca="false">IF(SUM(History!$F$48:$F$72)=0,0,-E19/SUM(History!$F$48:$F$72))</f>
        <v>0.0288461538461538</v>
      </c>
      <c r="F68" s="117" t="n">
        <f aca="false">IF(E17=0,0,-F19/E17)</f>
        <v>0.0338753387533875</v>
      </c>
      <c r="G68" s="117" t="n">
        <f aca="false">IF(F17=0,0,-G19/F17)</f>
        <v>0.0213903743315508</v>
      </c>
      <c r="H68" s="117" t="n">
        <f aca="false">IF(G17=0,0,-H19/G17)</f>
        <v>0.0273794002607562</v>
      </c>
      <c r="I68" s="117" t="n">
        <f aca="false">IF(H17=0,0,-I19/H17)</f>
        <v>0.0296774193548387</v>
      </c>
      <c r="J68" s="117" t="n">
        <f aca="false">IF(I17=0,0,-J19/I17)</f>
        <v>0.0413971539456662</v>
      </c>
      <c r="K68" s="117" t="n">
        <f aca="false">IF(J17=0,0,-K19/J17)</f>
        <v>0.0155239327296248</v>
      </c>
      <c r="L68" s="117" t="n">
        <f aca="false">IF(K17=0,0,-L19/K17)</f>
        <v>0.0314465408805031</v>
      </c>
      <c r="M68" s="117" t="n">
        <f aca="false">IF(L17=0,0,-M19/L17)</f>
        <v>0.0258419721871049</v>
      </c>
      <c r="N68" s="117" t="n">
        <f aca="false">IF(M17=0,0,-N19/M17)</f>
        <v>0.0260498809808374</v>
      </c>
      <c r="O68" s="117" t="n">
        <f aca="false">IF(N17=0,0,-O19/N17)</f>
        <v>0.0260663361894914</v>
      </c>
      <c r="P68" s="117" t="n">
        <f aca="false">IF(O17=0,0,-P19/O17)</f>
        <v>0.0262530647493</v>
      </c>
      <c r="Q68" s="117" t="n">
        <f aca="false">IF(P17=0,0,-Q19/P17)</f>
        <v>0.026088082199455</v>
      </c>
      <c r="R68" s="117" t="n">
        <f aca="false">IF(Q17=0,0,-R19/Q17)</f>
        <v>0.0261367426962267</v>
      </c>
      <c r="S68" s="117" t="n">
        <f aca="false">IF(R17=0,0,-S19/R17)</f>
        <v>0.0261239529934067</v>
      </c>
      <c r="T68" s="117" t="n">
        <f aca="false">IF(S17=0,0,-T19/S17)</f>
        <v>0.0261599275155817</v>
      </c>
      <c r="U68" s="117" t="n">
        <f aca="false">IF(T17=0,0,-U19/T17)</f>
        <v>0.0260299856573326</v>
      </c>
      <c r="V68" s="117" t="n">
        <f aca="false">IF(U17=0,0,-V19/U17)</f>
        <v>0.0260152184527987</v>
      </c>
      <c r="W68" s="117" t="n">
        <f aca="false">IF(V17=0,0,-W19/V17)</f>
        <v>0.0258983812651082</v>
      </c>
      <c r="X68" s="117" t="n">
        <f aca="false">IF(W17=0,0,-X19/W17)</f>
        <v>0.0257418866142555</v>
      </c>
      <c r="Y68" s="117" t="n">
        <f aca="false">IF(X17=0,0,-Y19/X17)</f>
        <v>0.0255453600224344</v>
      </c>
      <c r="Z68" s="117" t="n">
        <f aca="false">IF(Y17=0,0,-Z19/Y17)</f>
        <v>0.0255881851495828</v>
      </c>
      <c r="AA68" s="117" t="n">
        <f aca="false">IF(Z17=0,0,-AA19/Z17)</f>
        <v>0.0256926335697569</v>
      </c>
      <c r="AB68" s="117" t="n">
        <f aca="false">IF(AA17=0,0,-AB19/AA17)</f>
        <v>0.0258172608686672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95"/>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8"/>
    <col collapsed="false" customWidth="true" hidden="false" outlineLevel="0" max="20" min="3"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750</v>
      </c>
    </row>
    <row r="3" customFormat="false" ht="15" hidden="false" customHeight="false" outlineLevel="0" collapsed="false">
      <c r="A3" s="25" t="s">
        <v>751</v>
      </c>
    </row>
    <row r="5" customFormat="false" ht="15" hidden="false" customHeight="false" outlineLevel="0" collapsed="false">
      <c r="A5" s="22" t="s">
        <v>752</v>
      </c>
      <c r="B5" s="23"/>
      <c r="C5" s="23"/>
      <c r="D5" s="23"/>
      <c r="E5" s="23"/>
      <c r="F5" s="23"/>
      <c r="G5" s="23"/>
      <c r="H5" s="23"/>
      <c r="I5" s="23"/>
      <c r="J5" s="23"/>
      <c r="K5" s="23"/>
      <c r="L5" s="23"/>
      <c r="M5" s="23"/>
      <c r="N5" s="23"/>
      <c r="O5" s="23"/>
      <c r="P5" s="23"/>
      <c r="Q5" s="23"/>
      <c r="R5" s="23"/>
      <c r="S5" s="23"/>
      <c r="T5" s="23"/>
    </row>
    <row r="6" customFormat="false" ht="30" hidden="false" customHeight="true" outlineLevel="0" collapsed="false">
      <c r="A6" s="26" t="s">
        <v>753</v>
      </c>
      <c r="B6" s="27" t="s">
        <v>754</v>
      </c>
      <c r="C6" s="27" t="s">
        <v>755</v>
      </c>
      <c r="D6" s="27" t="s">
        <v>756</v>
      </c>
      <c r="E6" s="27" t="s">
        <v>757</v>
      </c>
      <c r="F6" s="27" t="s">
        <v>758</v>
      </c>
      <c r="G6" s="27" t="s">
        <v>759</v>
      </c>
      <c r="H6" s="27" t="s">
        <v>760</v>
      </c>
      <c r="I6" s="27" t="s">
        <v>761</v>
      </c>
      <c r="J6" s="27" t="s">
        <v>762</v>
      </c>
      <c r="K6" s="27" t="s">
        <v>763</v>
      </c>
      <c r="L6" s="27" t="s">
        <v>764</v>
      </c>
      <c r="M6" s="27" t="s">
        <v>765</v>
      </c>
      <c r="N6" s="27" t="s">
        <v>766</v>
      </c>
      <c r="O6" s="27" t="s">
        <v>767</v>
      </c>
      <c r="P6" s="27" t="s">
        <v>768</v>
      </c>
      <c r="Q6" s="27" t="s">
        <v>769</v>
      </c>
      <c r="R6" s="27" t="s">
        <v>770</v>
      </c>
      <c r="S6" s="27" t="s">
        <v>771</v>
      </c>
      <c r="T6" s="27" t="s">
        <v>772</v>
      </c>
    </row>
    <row r="7" customFormat="false" ht="15" hidden="false" customHeight="false" outlineLevel="0" collapsed="false">
      <c r="A7" s="0" t="s">
        <v>773</v>
      </c>
      <c r="B7" s="57" t="s">
        <v>755</v>
      </c>
      <c r="C7" s="65" t="n">
        <f aca="false">History!C112</f>
        <v>27683.23</v>
      </c>
      <c r="D7" s="65" t="n">
        <f aca="false">History!D112</f>
        <v>26350.81</v>
      </c>
      <c r="E7" s="65" t="n">
        <f aca="false">History!E112</f>
        <v>25578.65</v>
      </c>
      <c r="F7" s="65" t="n">
        <f aca="false">History!F112</f>
        <v>24652.44</v>
      </c>
      <c r="G7" s="65" t="n">
        <f aca="false">History!G112</f>
        <v>25770.41</v>
      </c>
      <c r="H7" s="65" t="n">
        <f aca="false">History!H112</f>
        <v>25817.97</v>
      </c>
      <c r="I7" s="65" t="n">
        <f aca="false">History!I112</f>
        <v>25194.47</v>
      </c>
      <c r="J7" s="65" t="n">
        <f aca="false">History!J112</f>
        <v>24578.75</v>
      </c>
      <c r="K7" s="65" t="n">
        <f aca="false">Subscriptions!G10+Subscriptions!G135+Subscriptions!G11+Subscriptions!G136+Subscriptions!G12+Subscriptions!G137+Enterprise!G17+Enterprise!G18</f>
        <v>24957.49</v>
      </c>
      <c r="L7" s="65" t="n">
        <f aca="false">Subscriptions!J10+Subscriptions!J135+Subscriptions!J11+Subscriptions!J136+Subscriptions!J12+Subscriptions!J137+Enterprise!J17+Enterprise!J18</f>
        <v>25428.06</v>
      </c>
      <c r="M7" s="65" t="n">
        <f aca="false">Subscriptions!M10+Subscriptions!M135+Subscriptions!M11+Subscriptions!M136+Subscriptions!M12+Subscriptions!M137+Enterprise!M17+Enterprise!M18</f>
        <v>25176.969489</v>
      </c>
      <c r="N7" s="65" t="n">
        <f aca="false">Subscriptions!P10+Subscriptions!P135+Subscriptions!P11+Subscriptions!P136+Subscriptions!P12+Subscriptions!P137+Enterprise!P17+Enterprise!P18</f>
        <v>24772.9122352348</v>
      </c>
      <c r="O7" s="65" t="n">
        <f aca="false">Subscriptions!S10+Subscriptions!S135+Subscriptions!S11+Subscriptions!S136+Subscriptions!S12+Subscriptions!S137+Enterprise!S17+Enterprise!S18</f>
        <v>25090.9897044958</v>
      </c>
      <c r="P7" s="65" t="n">
        <f aca="false">Subscriptions!V10+Subscriptions!V135+Subscriptions!V11+Subscriptions!V136+Subscriptions!V12+Subscriptions!V137+Enterprise!V17+Enterprise!V18</f>
        <v>24697.2612889595</v>
      </c>
      <c r="Q7" s="65" t="n">
        <f aca="false">Subscriptions!Y10+Subscriptions!Y135+Subscriptions!Y11+Subscriptions!Y136+Subscriptions!Y12+Subscriptions!Y137+Enterprise!Y17+Enterprise!Y18</f>
        <v>24318.6472174511</v>
      </c>
      <c r="R7" s="65" t="n">
        <f aca="false">Subscriptions!AB10+Subscriptions!AB135+Subscriptions!AB11+Subscriptions!AB136+Subscriptions!AB12+Subscriptions!AB137+Enterprise!AB17+Enterprise!AB18</f>
        <v>23954.6219465716</v>
      </c>
    </row>
    <row r="8" customFormat="false" ht="15" hidden="false" customHeight="false" outlineLevel="0" collapsed="false">
      <c r="A8" s="0" t="s">
        <v>774</v>
      </c>
      <c r="B8" s="57" t="s">
        <v>756</v>
      </c>
      <c r="D8" s="65" t="n">
        <f aca="false">History!D113</f>
        <v>29342.39</v>
      </c>
      <c r="E8" s="65" t="n">
        <f aca="false">History!E113</f>
        <v>28913.71</v>
      </c>
      <c r="F8" s="65" t="n">
        <f aca="false">History!F113</f>
        <v>28211.35</v>
      </c>
      <c r="G8" s="65" t="n">
        <f aca="false">History!G113</f>
        <v>28280.25</v>
      </c>
      <c r="H8" s="65" t="n">
        <f aca="false">History!H113</f>
        <v>27608.76</v>
      </c>
      <c r="I8" s="65" t="n">
        <f aca="false">History!I113</f>
        <v>27552.9</v>
      </c>
      <c r="J8" s="65" t="n">
        <f aca="false">History!J113</f>
        <v>27518.14</v>
      </c>
      <c r="K8" s="65" t="n">
        <f aca="false">Subscriptions!G13+Subscriptions!G138+Subscriptions!G14+Subscriptions!G139+Subscriptions!G15+Subscriptions!G140+Enterprise!G19+Enterprise!G20</f>
        <v>27856.39</v>
      </c>
      <c r="L8" s="65" t="n">
        <f aca="false">Subscriptions!J13+Subscriptions!J138+Subscriptions!J14+Subscriptions!J139+Subscriptions!J15+Subscriptions!J140+Enterprise!J19+Enterprise!J20</f>
        <v>27186.4</v>
      </c>
      <c r="M8" s="65" t="n">
        <f aca="false">Subscriptions!M13+Subscriptions!M138+Subscriptions!M14+Subscriptions!M139+Subscriptions!M15+Subscriptions!M140+Enterprise!M19+Enterprise!M20</f>
        <v>27134.240584</v>
      </c>
      <c r="N8" s="65" t="n">
        <f aca="false">Subscriptions!P13+Subscriptions!P138+Subscriptions!P14+Subscriptions!P139+Subscriptions!P15+Subscriptions!P140+Enterprise!P19+Enterprise!P20</f>
        <v>27044.4895635749</v>
      </c>
      <c r="O8" s="65" t="n">
        <f aca="false">Subscriptions!S13+Subscriptions!S138+Subscriptions!S14+Subscriptions!S139+Subscriptions!S15+Subscriptions!S140+Enterprise!S19+Enterprise!S20</f>
        <v>27305.1104064352</v>
      </c>
      <c r="P8" s="65" t="n">
        <f aca="false">Subscriptions!V13+Subscriptions!V138+Subscriptions!V14+Subscriptions!V139+Subscriptions!V15+Subscriptions!V140+Enterprise!V19+Enterprise!V20</f>
        <v>26924.0266854743</v>
      </c>
      <c r="Q8" s="65" t="n">
        <f aca="false">Subscriptions!Y13+Subscriptions!Y138+Subscriptions!Y14+Subscriptions!Y139+Subscriptions!Y15+Subscriptions!Y140+Enterprise!Y19+Enterprise!Y20</f>
        <v>26854.3370254471</v>
      </c>
      <c r="R8" s="65" t="n">
        <f aca="false">Subscriptions!AB13+Subscriptions!AB138+Subscriptions!AB14+Subscriptions!AB139+Subscriptions!AB15+Subscriptions!AB140+Enterprise!AB19+Enterprise!AB20</f>
        <v>26796.3710823703</v>
      </c>
    </row>
    <row r="9" customFormat="false" ht="15" hidden="false" customHeight="false" outlineLevel="0" collapsed="false">
      <c r="A9" s="0" t="s">
        <v>775</v>
      </c>
      <c r="B9" s="57" t="s">
        <v>757</v>
      </c>
      <c r="E9" s="65" t="n">
        <f aca="false">History!E114</f>
        <v>31017.83</v>
      </c>
      <c r="F9" s="65" t="n">
        <f aca="false">History!F114</f>
        <v>30953.82</v>
      </c>
      <c r="G9" s="65" t="n">
        <f aca="false">History!G114</f>
        <v>31288.1</v>
      </c>
      <c r="H9" s="65" t="n">
        <f aca="false">History!H114</f>
        <v>30678.24</v>
      </c>
      <c r="I9" s="65" t="n">
        <f aca="false">History!I114</f>
        <v>29282.87</v>
      </c>
      <c r="J9" s="65" t="n">
        <f aca="false">History!J114</f>
        <v>29195.86</v>
      </c>
      <c r="K9" s="65" t="n">
        <f aca="false">Subscriptions!G16+Subscriptions!G141+Subscriptions!G17+Subscriptions!G142+Subscriptions!G18+Subscriptions!G143+Enterprise!G21</f>
        <v>29508.26</v>
      </c>
      <c r="L9" s="65" t="n">
        <f aca="false">Subscriptions!J16+Subscriptions!J141+Subscriptions!J17+Subscriptions!J142+Subscriptions!J18+Subscriptions!J143+Enterprise!J21</f>
        <v>29209.96</v>
      </c>
      <c r="M9" s="65" t="n">
        <f aca="false">Subscriptions!M16+Subscriptions!M141+Subscriptions!M17+Subscriptions!M142+Subscriptions!M18+Subscriptions!M143+Enterprise!M21</f>
        <v>28433.626909485</v>
      </c>
      <c r="N9" s="65" t="n">
        <f aca="false">Subscriptions!P16+Subscriptions!P141+Subscriptions!P17+Subscriptions!P142+Subscriptions!P18+Subscriptions!P143+Enterprise!P21</f>
        <v>28317.7417061614</v>
      </c>
      <c r="O9" s="65" t="n">
        <f aca="false">Subscriptions!S16+Subscriptions!S141+Subscriptions!S17+Subscriptions!S142+Subscriptions!S18+Subscriptions!S143+Enterprise!S21</f>
        <v>28651.6324460505</v>
      </c>
      <c r="P9" s="65" t="n">
        <f aca="false">Subscriptions!V16+Subscriptions!V141+Subscriptions!V17+Subscriptions!V142+Subscriptions!V18+Subscriptions!V143+Enterprise!V21</f>
        <v>28551.1035933752</v>
      </c>
      <c r="Q9" s="65" t="n">
        <f aca="false">Subscriptions!Y16+Subscriptions!Y141+Subscriptions!Y17+Subscriptions!Y142+Subscriptions!Y18+Subscriptions!Y143+Enterprise!Y21</f>
        <v>28194.1870614029</v>
      </c>
      <c r="R9" s="65" t="n">
        <f aca="false">Subscriptions!AB16+Subscriptions!AB141+Subscriptions!AB17+Subscriptions!AB142+Subscriptions!AB18+Subscriptions!AB143+Enterprise!AB21</f>
        <v>28119.0760592901</v>
      </c>
    </row>
    <row r="10" customFormat="false" ht="15" hidden="false" customHeight="false" outlineLevel="0" collapsed="false">
      <c r="A10" s="0" t="s">
        <v>776</v>
      </c>
      <c r="B10" s="57" t="s">
        <v>758</v>
      </c>
      <c r="F10" s="65" t="n">
        <f aca="false">History!F115</f>
        <v>28092.96</v>
      </c>
      <c r="G10" s="65" t="n">
        <f aca="false">History!G115</f>
        <v>27198.97</v>
      </c>
      <c r="H10" s="65" t="n">
        <f aca="false">History!H115</f>
        <v>26745.49</v>
      </c>
      <c r="I10" s="65" t="n">
        <f aca="false">History!I115</f>
        <v>26449.65</v>
      </c>
      <c r="J10" s="65" t="n">
        <f aca="false">History!J115</f>
        <v>25835.39</v>
      </c>
      <c r="K10" s="65" t="n">
        <f aca="false">Subscriptions!G19+Subscriptions!G144+Subscriptions!G20+Subscriptions!G145+Subscriptions!G21+Subscriptions!G146+Enterprise!G22</f>
        <v>25574.09</v>
      </c>
      <c r="L10" s="65" t="n">
        <f aca="false">Subscriptions!J19+Subscriptions!J144+Subscriptions!J20+Subscriptions!J145+Subscriptions!J21+Subscriptions!J146+Enterprise!J22</f>
        <v>25297.63</v>
      </c>
      <c r="M10" s="65" t="n">
        <f aca="false">Subscriptions!M19+Subscriptions!M144+Subscriptions!M20+Subscriptions!M145+Subscriptions!M21+Subscriptions!M146+Enterprise!M22</f>
        <v>25226.341712</v>
      </c>
      <c r="N10" s="65" t="n">
        <f aca="false">Subscriptions!P19+Subscriptions!P144+Subscriptions!P20+Subscriptions!P145+Subscriptions!P21+Subscriptions!P146+Enterprise!P22</f>
        <v>24669.6573735174</v>
      </c>
      <c r="O10" s="65" t="n">
        <f aca="false">Subscriptions!S19+Subscriptions!S144+Subscriptions!S20+Subscriptions!S145+Subscriptions!S21+Subscriptions!S146+Enterprise!S22</f>
        <v>24933.6588647762</v>
      </c>
      <c r="P10" s="65" t="n">
        <f aca="false">Subscriptions!V19+Subscriptions!V144+Subscriptions!V20+Subscriptions!V145+Subscriptions!V21+Subscriptions!V146+Enterprise!V22</f>
        <v>24781.1488164818</v>
      </c>
      <c r="Q10" s="65" t="n">
        <f aca="false">Subscriptions!Y19+Subscriptions!Y144+Subscriptions!Y20+Subscriptions!Y145+Subscriptions!Y21+Subscriptions!Y146+Enterprise!Y22</f>
        <v>24642.514769728</v>
      </c>
      <c r="R10" s="65" t="n">
        <f aca="false">Subscriptions!AB19+Subscriptions!AB144+Subscriptions!AB20+Subscriptions!AB145+Subscriptions!AB21+Subscriptions!AB146+Enterprise!AB22</f>
        <v>24117.8005181089</v>
      </c>
    </row>
    <row r="11" customFormat="false" ht="15" hidden="false" customHeight="false" outlineLevel="0" collapsed="false">
      <c r="A11" s="0" t="s">
        <v>777</v>
      </c>
      <c r="B11" s="57" t="s">
        <v>759</v>
      </c>
      <c r="G11" s="65" t="n">
        <f aca="false">History!G116</f>
        <v>46470.88</v>
      </c>
      <c r="H11" s="65" t="n">
        <f aca="false">History!H116</f>
        <v>45905.26</v>
      </c>
      <c r="I11" s="65" t="n">
        <f aca="false">History!I116</f>
        <v>45621.23</v>
      </c>
      <c r="J11" s="65" t="n">
        <f aca="false">History!J116</f>
        <v>45329.51</v>
      </c>
      <c r="K11" s="65" t="n">
        <f aca="false">Subscriptions!G22+Subscriptions!G147+Subscriptions!G23+Subscriptions!G148+Subscriptions!G24+Subscriptions!G149+Enterprise!G23+Enterprise!G24</f>
        <v>42528.96</v>
      </c>
      <c r="L11" s="65" t="n">
        <f aca="false">Subscriptions!J22+Subscriptions!J147+Subscriptions!J23+Subscriptions!J148+Subscriptions!J24+Subscriptions!J149+Enterprise!J23+Enterprise!J24</f>
        <v>41856.01</v>
      </c>
      <c r="M11" s="65" t="n">
        <f aca="false">Subscriptions!M22+Subscriptions!M147+Subscriptions!M23+Subscriptions!M148+Subscriptions!M24+Subscriptions!M149+Enterprise!M23+Enterprise!M24</f>
        <v>41649.339734</v>
      </c>
      <c r="N11" s="65" t="n">
        <f aca="false">Subscriptions!P22+Subscriptions!P147+Subscriptions!P23+Subscriptions!P148+Subscriptions!P24+Subscriptions!P149+Enterprise!P23+Enterprise!P24</f>
        <v>41160.5303303468</v>
      </c>
      <c r="O11" s="65" t="n">
        <f aca="false">Subscriptions!S22+Subscriptions!S147+Subscriptions!S23+Subscriptions!S148+Subscriptions!S24+Subscriptions!S149+Enterprise!S23+Enterprise!S24</f>
        <v>41532.3835809341</v>
      </c>
      <c r="P11" s="65" t="n">
        <f aca="false">Subscriptions!V22+Subscriptions!V147+Subscriptions!V23+Subscriptions!V148+Subscriptions!V24+Subscriptions!V149+Enterprise!V23+Enterprise!V24</f>
        <v>41060.7846362614</v>
      </c>
      <c r="Q11" s="65" t="n">
        <f aca="false">Subscriptions!Y22+Subscriptions!Y147+Subscriptions!Y23+Subscriptions!Y148+Subscriptions!Y24+Subscriptions!Y149+Enterprise!Y23+Enterprise!Y24</f>
        <v>40614.5440192329</v>
      </c>
      <c r="R11" s="65" t="n">
        <f aca="false">Subscriptions!AB22+Subscriptions!AB147+Subscriptions!AB23+Subscriptions!AB148+Subscriptions!AB24+Subscriptions!AB149+Enterprise!AB23+Enterprise!AB24</f>
        <v>40192.8924358619</v>
      </c>
    </row>
    <row r="12" customFormat="false" ht="15" hidden="false" customHeight="false" outlineLevel="0" collapsed="false">
      <c r="A12" s="0" t="s">
        <v>778</v>
      </c>
      <c r="B12" s="57" t="s">
        <v>760</v>
      </c>
      <c r="H12" s="65" t="n">
        <f aca="false">History!H117</f>
        <v>26028.31</v>
      </c>
      <c r="I12" s="65" t="n">
        <f aca="false">History!I117</f>
        <v>24861.75</v>
      </c>
      <c r="J12" s="65" t="n">
        <f aca="false">History!J117</f>
        <v>23931.34</v>
      </c>
      <c r="K12" s="65" t="n">
        <f aca="false">Subscriptions!G25+Subscriptions!G150+Subscriptions!G26+Subscriptions!G151+Subscriptions!G27+Subscriptions!G152+Enterprise!G25</f>
        <v>23001.48</v>
      </c>
      <c r="L12" s="65" t="n">
        <f aca="false">Subscriptions!J25+Subscriptions!J150+Subscriptions!J26+Subscriptions!J151+Subscriptions!J27+Subscriptions!J152+Enterprise!J25</f>
        <v>21117.69</v>
      </c>
      <c r="M12" s="65" t="n">
        <f aca="false">Subscriptions!M25+Subscriptions!M150+Subscriptions!M26+Subscriptions!M151+Subscriptions!M27+Subscriptions!M152+Enterprise!M25</f>
        <v>20719.711222</v>
      </c>
      <c r="N12" s="65" t="n">
        <f aca="false">Subscriptions!P25+Subscriptions!P150+Subscriptions!P26+Subscriptions!P151+Subscriptions!P27+Subscriptions!P152+Enterprise!P25</f>
        <v>20451.5433000322</v>
      </c>
      <c r="O12" s="65" t="n">
        <f aca="false">Subscriptions!S25+Subscriptions!S150+Subscriptions!S26+Subscriptions!S151+Subscriptions!S27+Subscriptions!S152+Enterprise!S25</f>
        <v>20671.6282976057</v>
      </c>
      <c r="P12" s="65" t="n">
        <f aca="false">Subscriptions!V25+Subscriptions!V150+Subscriptions!V26+Subscriptions!V151+Subscriptions!V27+Subscriptions!V152+Enterprise!V25</f>
        <v>20311.3656703942</v>
      </c>
      <c r="Q12" s="65" t="n">
        <f aca="false">Subscriptions!Y25+Subscriptions!Y150+Subscriptions!Y26+Subscriptions!Y151+Subscriptions!Y27+Subscriptions!Y152+Enterprise!Y25</f>
        <v>20067.3973326784</v>
      </c>
      <c r="R12" s="65" t="n">
        <f aca="false">Subscriptions!AB25+Subscriptions!AB150+Subscriptions!AB26+Subscriptions!AB151+Subscriptions!AB27+Subscriptions!AB152+Enterprise!AB25</f>
        <v>19837.4167848759</v>
      </c>
    </row>
    <row r="13" customFormat="false" ht="15" hidden="false" customHeight="false" outlineLevel="0" collapsed="false">
      <c r="A13" s="0" t="s">
        <v>779</v>
      </c>
      <c r="B13" s="57" t="s">
        <v>761</v>
      </c>
      <c r="I13" s="65" t="n">
        <f aca="false">History!I118</f>
        <v>30669.49</v>
      </c>
      <c r="J13" s="65" t="n">
        <f aca="false">History!J118</f>
        <v>29604.5</v>
      </c>
      <c r="K13" s="65" t="n">
        <f aca="false">Subscriptions!G28+Subscriptions!G153+Subscriptions!G29+Subscriptions!G154+Subscriptions!G30+Subscriptions!G155+Enterprise!G26+Enterprise!G27</f>
        <v>29147</v>
      </c>
      <c r="L13" s="65" t="n">
        <f aca="false">Subscriptions!J28+Subscriptions!J153+Subscriptions!J29+Subscriptions!J154+Subscriptions!J30+Subscriptions!J155+Enterprise!J26+Enterprise!J27</f>
        <v>28473.3</v>
      </c>
      <c r="M13" s="65" t="n">
        <f aca="false">Subscriptions!M28+Subscriptions!M153+Subscriptions!M29+Subscriptions!M154+Subscriptions!M30+Subscriptions!M155+Enterprise!M26+Enterprise!M27</f>
        <v>26516.085012</v>
      </c>
      <c r="N13" s="65" t="n">
        <f aca="false">Subscriptions!P28+Subscriptions!P153+Subscriptions!P29+Subscriptions!P154+Subscriptions!P30+Subscriptions!P155+Enterprise!P26+Enterprise!P27</f>
        <v>26331.5291369706</v>
      </c>
      <c r="O13" s="65" t="n">
        <f aca="false">Subscriptions!S28+Subscriptions!S153+Subscriptions!S29+Subscriptions!S154+Subscriptions!S30+Subscriptions!S155+Enterprise!S26+Enterprise!S27</f>
        <v>26545.4499022188</v>
      </c>
      <c r="P13" s="65" t="n">
        <f aca="false">Subscriptions!V28+Subscriptions!V153+Subscriptions!V29+Subscriptions!V154+Subscriptions!V30+Subscriptions!V155+Enterprise!V26+Enterprise!V27</f>
        <v>26371.8170214256</v>
      </c>
      <c r="Q13" s="65" t="n">
        <f aca="false">Subscriptions!Y28+Subscriptions!Y153+Subscriptions!Y29+Subscriptions!Y154+Subscriptions!Y30+Subscriptions!Y155+Enterprise!Y26+Enterprise!Y27</f>
        <v>26254.228100643</v>
      </c>
      <c r="R13" s="65" t="n">
        <f aca="false">Subscriptions!AB28+Subscriptions!AB153+Subscriptions!AB29+Subscriptions!AB154+Subscriptions!AB30+Subscriptions!AB155+Enterprise!AB26+Enterprise!AB27</f>
        <v>26102.3017275257</v>
      </c>
    </row>
    <row r="14" customFormat="false" ht="15" hidden="false" customHeight="false" outlineLevel="0" collapsed="false">
      <c r="A14" s="0" t="s">
        <v>780</v>
      </c>
      <c r="B14" s="57" t="s">
        <v>762</v>
      </c>
      <c r="J14" s="65" t="n">
        <f aca="false">History!J119</f>
        <v>26946.23</v>
      </c>
      <c r="K14" s="65" t="n">
        <f aca="false">Subscriptions!G31+Subscriptions!G156+Subscriptions!G32+Subscriptions!G157+Subscriptions!G33+Subscriptions!G158+Enterprise!G28</f>
        <v>26571.49</v>
      </c>
      <c r="L14" s="65" t="n">
        <f aca="false">Subscriptions!J31+Subscriptions!J156+Subscriptions!J32+Subscriptions!J157+Subscriptions!J33+Subscriptions!J158+Enterprise!J28</f>
        <v>25216.84</v>
      </c>
      <c r="M14" s="65" t="n">
        <f aca="false">Subscriptions!M31+Subscriptions!M156+Subscriptions!M32+Subscriptions!M157+Subscriptions!M33+Subscriptions!M158+Enterprise!M28</f>
        <v>24499.294496</v>
      </c>
      <c r="N14" s="65" t="n">
        <f aca="false">Subscriptions!P31+Subscriptions!P156+Subscriptions!P32+Subscriptions!P157+Subscriptions!P33+Subscriptions!P158+Enterprise!P28</f>
        <v>23162.6888955841</v>
      </c>
      <c r="O14" s="65" t="n">
        <f aca="false">Subscriptions!S31+Subscriptions!S156+Subscriptions!S32+Subscriptions!S157+Subscriptions!S33+Subscriptions!S158+Enterprise!S28</f>
        <v>23424.441639292</v>
      </c>
      <c r="P14" s="65" t="n">
        <f aca="false">Subscriptions!V31+Subscriptions!V156+Subscriptions!V32+Subscriptions!V157+Subscriptions!V33+Subscriptions!V158+Enterprise!V28</f>
        <v>23116.0297005334</v>
      </c>
      <c r="Q14" s="65" t="n">
        <f aca="false">Subscriptions!Y31+Subscriptions!Y156+Subscriptions!Y32+Subscriptions!Y157+Subscriptions!Y33+Subscriptions!Y158+Enterprise!Y28</f>
        <v>22824.8951276615</v>
      </c>
      <c r="R14" s="65" t="n">
        <f aca="false">Subscriptions!AB31+Subscriptions!AB156+Subscriptions!AB32+Subscriptions!AB157+Subscriptions!AB33+Subscriptions!AB158+Enterprise!AB28</f>
        <v>22461.3288932712</v>
      </c>
    </row>
    <row r="15" customFormat="false" ht="15" hidden="false" customHeight="false" outlineLevel="0" collapsed="false">
      <c r="A15" s="0" t="s">
        <v>781</v>
      </c>
      <c r="B15" s="57" t="s">
        <v>763</v>
      </c>
      <c r="K15" s="65" t="n">
        <f aca="false">Subscriptions!G34+Subscriptions!G159+Subscriptions!G35+Subscriptions!G160+Subscriptions!G36+Subscriptions!G161+IF(AND(Account_Register!$O$29&gt;=1,Account_Register!$O$29&lt;=3),Enterprise!G31,0)+IF(AND(Account_Register!$O$30&gt;=1,Account_Register!$O$30&lt;=3),Enterprise!G32,0)+IF(AND(Account_Register!$O$31&gt;=1,Account_Register!$O$31&lt;=3),Enterprise!G33,0)+IF(AND(Account_Register!$O$32&gt;=1,Account_Register!$O$32&lt;=3),Enterprise!G34,0)+IF(AND(Account_Register!$O$33&gt;=1,Account_Register!$O$33&lt;=3),Enterprise!G35,0)+IF(AND(Account_Register!$O$34&gt;=1,Account_Register!$O$34&lt;=3),Enterprise!G36,0)+Enterprise!E37+Enterprise!F37+Enterprise!G37</f>
        <v>39280.02</v>
      </c>
      <c r="L15" s="65" t="n">
        <f aca="false">Subscriptions!J34+Subscriptions!J159+Subscriptions!J35+Subscriptions!J160+Subscriptions!J36+Subscriptions!J161+IF(AND(Account_Register!$O$29&gt;=1,Account_Register!$O$29&lt;=3),Enterprise!J31,0)+IF(AND(Account_Register!$O$30&gt;=1,Account_Register!$O$30&lt;=3),Enterprise!J32,0)+IF(AND(Account_Register!$O$31&gt;=1,Account_Register!$O$31&lt;=3),Enterprise!J33,0)+IF(AND(Account_Register!$O$32&gt;=1,Account_Register!$O$32&lt;=3),Enterprise!J34,0)+IF(AND(Account_Register!$O$33&gt;=1,Account_Register!$O$33&lt;=3),Enterprise!J35,0)+IF(AND(Account_Register!$O$34&gt;=1,Account_Register!$O$34&lt;=3),Enterprise!J36,0)+Enterprise!E37+Enterprise!F37+Enterprise!G37</f>
        <v>36972.45</v>
      </c>
      <c r="M15" s="65" t="n">
        <f aca="false">Subscriptions!M34+Subscriptions!M159+Subscriptions!M35+Subscriptions!M160+Subscriptions!M36+Subscriptions!M161+IF(AND(Account_Register!$O$29&gt;=1,Account_Register!$O$29&lt;=3),Enterprise!M31,0)+IF(AND(Account_Register!$O$30&gt;=1,Account_Register!$O$30&lt;=3),Enterprise!M32,0)+IF(AND(Account_Register!$O$31&gt;=1,Account_Register!$O$31&lt;=3),Enterprise!M33,0)+IF(AND(Account_Register!$O$32&gt;=1,Account_Register!$O$32&lt;=3),Enterprise!M34,0)+IF(AND(Account_Register!$O$33&gt;=1,Account_Register!$O$33&lt;=3),Enterprise!M35,0)+IF(AND(Account_Register!$O$34&gt;=1,Account_Register!$O$34&lt;=3),Enterprise!M36,0)+Enterprise!E37+Enterprise!F37+Enterprise!G37</f>
        <v>36377.842302</v>
      </c>
      <c r="N15" s="65" t="n">
        <f aca="false">Subscriptions!P34+Subscriptions!P159+Subscriptions!P35+Subscriptions!P160+Subscriptions!P36+Subscriptions!P161+IF(AND(Account_Register!$O$29&gt;=1,Account_Register!$O$29&lt;=3),Enterprise!P31,0)+IF(AND(Account_Register!$O$30&gt;=1,Account_Register!$O$30&lt;=3),Enterprise!P32,0)+IF(AND(Account_Register!$O$31&gt;=1,Account_Register!$O$31&lt;=3),Enterprise!P33,0)+IF(AND(Account_Register!$O$32&gt;=1,Account_Register!$O$32&lt;=3),Enterprise!P34,0)+IF(AND(Account_Register!$O$33&gt;=1,Account_Register!$O$33&lt;=3),Enterprise!P35,0)+IF(AND(Account_Register!$O$34&gt;=1,Account_Register!$O$34&lt;=3),Enterprise!P36,0)+Enterprise!E37+Enterprise!F37+Enterprise!G37</f>
        <v>35740.887037202</v>
      </c>
      <c r="O15" s="65" t="n">
        <f aca="false">Subscriptions!S34+Subscriptions!S159+Subscriptions!S35+Subscriptions!S160+Subscriptions!S36+Subscriptions!S161+IF(AND(Account_Register!$O$29&gt;=1,Account_Register!$O$29&lt;=3),Enterprise!S31,0)+IF(AND(Account_Register!$O$30&gt;=1,Account_Register!$O$30&lt;=3),Enterprise!S32,0)+IF(AND(Account_Register!$O$31&gt;=1,Account_Register!$O$31&lt;=3),Enterprise!S33,0)+IF(AND(Account_Register!$O$32&gt;=1,Account_Register!$O$32&lt;=3),Enterprise!S34,0)+IF(AND(Account_Register!$O$33&gt;=1,Account_Register!$O$33&lt;=3),Enterprise!S35,0)+IF(AND(Account_Register!$O$34&gt;=1,Account_Register!$O$34&lt;=3),Enterprise!S36,0)+Enterprise!E37+Enterprise!F37+Enterprise!G37</f>
        <v>33632.1307988804</v>
      </c>
      <c r="P15" s="65" t="n">
        <f aca="false">Subscriptions!V34+Subscriptions!V159+Subscriptions!V35+Subscriptions!V160+Subscriptions!V36+Subscriptions!V161+IF(AND(Account_Register!$O$29&gt;=1,Account_Register!$O$29&lt;=3),Enterprise!V31,0)+IF(AND(Account_Register!$O$30&gt;=1,Account_Register!$O$30&lt;=3),Enterprise!V32,0)+IF(AND(Account_Register!$O$31&gt;=1,Account_Register!$O$31&lt;=3),Enterprise!V33,0)+IF(AND(Account_Register!$O$32&gt;=1,Account_Register!$O$32&lt;=3),Enterprise!V34,0)+IF(AND(Account_Register!$O$33&gt;=1,Account_Register!$O$33&lt;=3),Enterprise!V35,0)+IF(AND(Account_Register!$O$34&gt;=1,Account_Register!$O$34&lt;=3),Enterprise!V36,0)+Enterprise!E37+Enterprise!F37+Enterprise!G37</f>
        <v>33405.0348192249</v>
      </c>
      <c r="Q15" s="65" t="n">
        <f aca="false">Subscriptions!Y34+Subscriptions!Y159+Subscriptions!Y35+Subscriptions!Y160+Subscriptions!Y36+Subscriptions!Y161+IF(AND(Account_Register!$O$29&gt;=1,Account_Register!$O$29&lt;=3),Enterprise!Y31,0)+IF(AND(Account_Register!$O$30&gt;=1,Account_Register!$O$30&lt;=3),Enterprise!Y32,0)+IF(AND(Account_Register!$O$31&gt;=1,Account_Register!$O$31&lt;=3),Enterprise!Y33,0)+IF(AND(Account_Register!$O$32&gt;=1,Account_Register!$O$32&lt;=3),Enterprise!Y34,0)+IF(AND(Account_Register!$O$33&gt;=1,Account_Register!$O$33&lt;=3),Enterprise!Y35,0)+IF(AND(Account_Register!$O$34&gt;=1,Account_Register!$O$34&lt;=3),Enterprise!Y36,0)+Enterprise!E37+Enterprise!F37+Enterprise!G37</f>
        <v>33202.3262113345</v>
      </c>
      <c r="R15" s="65" t="n">
        <f aca="false">Subscriptions!AB34+Subscriptions!AB159+Subscriptions!AB35+Subscriptions!AB160+Subscriptions!AB36+Subscriptions!AB161+IF(AND(Account_Register!$O$29&gt;=1,Account_Register!$O$29&lt;=3),Enterprise!AB31,0)+IF(AND(Account_Register!$O$30&gt;=1,Account_Register!$O$30&lt;=3),Enterprise!AB32,0)+IF(AND(Account_Register!$O$31&gt;=1,Account_Register!$O$31&lt;=3),Enterprise!AB33,0)+IF(AND(Account_Register!$O$32&gt;=1,Account_Register!$O$32&lt;=3),Enterprise!AB34,0)+IF(AND(Account_Register!$O$33&gt;=1,Account_Register!$O$33&lt;=3),Enterprise!AB35,0)+IF(AND(Account_Register!$O$34&gt;=1,Account_Register!$O$34&lt;=3),Enterprise!AB36,0)+Enterprise!E37+Enterprise!F37+Enterprise!G37</f>
        <v>33023.399870533</v>
      </c>
    </row>
    <row r="16" customFormat="false" ht="15" hidden="false" customHeight="false" outlineLevel="0" collapsed="false">
      <c r="A16" s="0" t="s">
        <v>782</v>
      </c>
      <c r="B16" s="57" t="s">
        <v>764</v>
      </c>
      <c r="L16" s="65" t="n">
        <f aca="false">Subscriptions!J37+Subscriptions!J162+Subscriptions!J38+Subscriptions!J163+Subscriptions!J39+Subscriptions!J164+Enterprise!J29+IF(AND(Account_Register!$O$29&gt;=4,Account_Register!$O$29&lt;=6),Enterprise!J31,0)+IF(AND(Account_Register!$O$30&gt;=4,Account_Register!$O$30&lt;=6),Enterprise!J32,0)+IF(AND(Account_Register!$O$31&gt;=4,Account_Register!$O$31&lt;=6),Enterprise!J33,0)+IF(AND(Account_Register!$O$32&gt;=4,Account_Register!$O$32&lt;=6),Enterprise!J34,0)+IF(AND(Account_Register!$O$33&gt;=4,Account_Register!$O$33&lt;=6),Enterprise!J35,0)+IF(AND(Account_Register!$O$34&gt;=4,Account_Register!$O$34&lt;=6),Enterprise!J36,0)+Enterprise!H37+Enterprise!I37+Enterprise!J37</f>
        <v>39456.44</v>
      </c>
      <c r="M16" s="65" t="n">
        <f aca="false">Subscriptions!M37+Subscriptions!M162+Subscriptions!M38+Subscriptions!M163+Subscriptions!M39+Subscriptions!M164+Enterprise!M29+IF(AND(Account_Register!$O$29&gt;=4,Account_Register!$O$29&lt;=6),Enterprise!M31,0)+IF(AND(Account_Register!$O$30&gt;=4,Account_Register!$O$30&lt;=6),Enterprise!M32,0)+IF(AND(Account_Register!$O$31&gt;=4,Account_Register!$O$31&lt;=6),Enterprise!M33,0)+IF(AND(Account_Register!$O$32&gt;=4,Account_Register!$O$32&lt;=6),Enterprise!M34,0)+IF(AND(Account_Register!$O$33&gt;=4,Account_Register!$O$33&lt;=6),Enterprise!M35,0)+IF(AND(Account_Register!$O$34&gt;=4,Account_Register!$O$34&lt;=6),Enterprise!M36,0)+Enterprise!H37+Enterprise!I37+Enterprise!J37</f>
        <v>37994.747485</v>
      </c>
      <c r="N16" s="65" t="n">
        <f aca="false">Subscriptions!P37+Subscriptions!P162+Subscriptions!P38+Subscriptions!P163+Subscriptions!P39+Subscriptions!P164+Enterprise!P29+IF(AND(Account_Register!$O$29&gt;=4,Account_Register!$O$29&lt;=6),Enterprise!P31,0)+IF(AND(Account_Register!$O$30&gt;=4,Account_Register!$O$30&lt;=6),Enterprise!P32,0)+IF(AND(Account_Register!$O$31&gt;=4,Account_Register!$O$31&lt;=6),Enterprise!P33,0)+IF(AND(Account_Register!$O$32&gt;=4,Account_Register!$O$32&lt;=6),Enterprise!P34,0)+IF(AND(Account_Register!$O$33&gt;=4,Account_Register!$O$33&lt;=6),Enterprise!P35,0)+IF(AND(Account_Register!$O$34&gt;=4,Account_Register!$O$34&lt;=6),Enterprise!P36,0)+Enterprise!H37+Enterprise!I37+Enterprise!J37</f>
        <v>37310.3582038163</v>
      </c>
      <c r="O16" s="65" t="n">
        <f aca="false">Subscriptions!S37+Subscriptions!S162+Subscriptions!S38+Subscriptions!S163+Subscriptions!S39+Subscriptions!S164+Enterprise!S29+IF(AND(Account_Register!$O$29&gt;=4,Account_Register!$O$29&lt;=6),Enterprise!S31,0)+IF(AND(Account_Register!$O$30&gt;=4,Account_Register!$O$30&lt;=6),Enterprise!S32,0)+IF(AND(Account_Register!$O$31&gt;=4,Account_Register!$O$31&lt;=6),Enterprise!S33,0)+IF(AND(Account_Register!$O$32&gt;=4,Account_Register!$O$32&lt;=6),Enterprise!S34,0)+IF(AND(Account_Register!$O$33&gt;=4,Account_Register!$O$33&lt;=6),Enterprise!S35,0)+IF(AND(Account_Register!$O$34&gt;=4,Account_Register!$O$34&lt;=6),Enterprise!S36,0)+Enterprise!H37+Enterprise!I37+Enterprise!J37</f>
        <v>37323.2938752899</v>
      </c>
      <c r="P16" s="65" t="n">
        <f aca="false">Subscriptions!V37+Subscriptions!V162+Subscriptions!V38+Subscriptions!V163+Subscriptions!V39+Subscriptions!V164+Enterprise!V29+IF(AND(Account_Register!$O$29&gt;=4,Account_Register!$O$29&lt;=6),Enterprise!V31,0)+IF(AND(Account_Register!$O$30&gt;=4,Account_Register!$O$30&lt;=6),Enterprise!V32,0)+IF(AND(Account_Register!$O$31&gt;=4,Account_Register!$O$31&lt;=6),Enterprise!V33,0)+IF(AND(Account_Register!$O$32&gt;=4,Account_Register!$O$32&lt;=6),Enterprise!V34,0)+IF(AND(Account_Register!$O$33&gt;=4,Account_Register!$O$33&lt;=6),Enterprise!V35,0)+IF(AND(Account_Register!$O$34&gt;=4,Account_Register!$O$34&lt;=6),Enterprise!V36,0)+Enterprise!H37+Enterprise!I37+Enterprise!J37</f>
        <v>35709.3804206313</v>
      </c>
      <c r="Q16" s="65" t="n">
        <f aca="false">Subscriptions!Y37+Subscriptions!Y162+Subscriptions!Y38+Subscriptions!Y163+Subscriptions!Y39+Subscriptions!Y164+Enterprise!Y29+IF(AND(Account_Register!$O$29&gt;=4,Account_Register!$O$29&lt;=6),Enterprise!Y31,0)+IF(AND(Account_Register!$O$30&gt;=4,Account_Register!$O$30&lt;=6),Enterprise!Y32,0)+IF(AND(Account_Register!$O$31&gt;=4,Account_Register!$O$31&lt;=6),Enterprise!Y33,0)+IF(AND(Account_Register!$O$32&gt;=4,Account_Register!$O$32&lt;=6),Enterprise!Y34,0)+IF(AND(Account_Register!$O$33&gt;=4,Account_Register!$O$33&lt;=6),Enterprise!Y35,0)+IF(AND(Account_Register!$O$34&gt;=4,Account_Register!$O$34&lt;=6),Enterprise!Y36,0)+Enterprise!H37+Enterprise!I37+Enterprise!J37</f>
        <v>35438.0966641812</v>
      </c>
      <c r="R16" s="65" t="n">
        <f aca="false">Subscriptions!AB37+Subscriptions!AB162+Subscriptions!AB38+Subscriptions!AB163+Subscriptions!AB39+Subscriptions!AB164+Enterprise!AB29+IF(AND(Account_Register!$O$29&gt;=4,Account_Register!$O$29&lt;=6),Enterprise!AB31,0)+IF(AND(Account_Register!$O$30&gt;=4,Account_Register!$O$30&lt;=6),Enterprise!AB32,0)+IF(AND(Account_Register!$O$31&gt;=4,Account_Register!$O$31&lt;=6),Enterprise!AB33,0)+IF(AND(Account_Register!$O$32&gt;=4,Account_Register!$O$32&lt;=6),Enterprise!AB34,0)+IF(AND(Account_Register!$O$33&gt;=4,Account_Register!$O$33&lt;=6),Enterprise!AB35,0)+IF(AND(Account_Register!$O$34&gt;=4,Account_Register!$O$34&lt;=6),Enterprise!AB36,0)+Enterprise!H37+Enterprise!I37+Enterprise!J37</f>
        <v>35186.2577314677</v>
      </c>
    </row>
    <row r="17" customFormat="false" ht="15" hidden="false" customHeight="false" outlineLevel="0" collapsed="false">
      <c r="A17" s="0" t="s">
        <v>783</v>
      </c>
      <c r="B17" s="57" t="s">
        <v>765</v>
      </c>
      <c r="M17" s="65" t="n">
        <f aca="false">Subscriptions!M40+Subscriptions!M165+Subscriptions!M41+Subscriptions!M166+Subscriptions!M42+Subscriptions!M167+Enterprise!M30+IF(AND(Account_Register!$O$29&gt;=7,Account_Register!$O$29&lt;=9),Enterprise!M31,0)+IF(AND(Account_Register!$O$30&gt;=7,Account_Register!$O$30&lt;=9),Enterprise!M32,0)+IF(AND(Account_Register!$O$31&gt;=7,Account_Register!$O$31&lt;=9),Enterprise!M33,0)+IF(AND(Account_Register!$O$32&gt;=7,Account_Register!$O$32&lt;=9),Enterprise!M34,0)+IF(AND(Account_Register!$O$33&gt;=7,Account_Register!$O$33&lt;=9),Enterprise!M35,0)+IF(AND(Account_Register!$O$34&gt;=7,Account_Register!$O$34&lt;=9),Enterprise!M36,0)+Enterprise!K37+Enterprise!L37+Enterprise!M37</f>
        <v>35855.978637</v>
      </c>
      <c r="N17" s="65" t="n">
        <f aca="false">Subscriptions!P40+Subscriptions!P165+Subscriptions!P41+Subscriptions!P166+Subscriptions!P42+Subscriptions!P167+Enterprise!P30+IF(AND(Account_Register!$O$29&gt;=7,Account_Register!$O$29&lt;=9),Enterprise!P31,0)+IF(AND(Account_Register!$O$30&gt;=7,Account_Register!$O$30&lt;=9),Enterprise!P32,0)+IF(AND(Account_Register!$O$31&gt;=7,Account_Register!$O$31&lt;=9),Enterprise!P33,0)+IF(AND(Account_Register!$O$32&gt;=7,Account_Register!$O$32&lt;=9),Enterprise!P34,0)+IF(AND(Account_Register!$O$33&gt;=7,Account_Register!$O$33&lt;=9),Enterprise!P35,0)+IF(AND(Account_Register!$O$34&gt;=7,Account_Register!$O$34&lt;=9),Enterprise!P36,0)+Enterprise!K37+Enterprise!L37+Enterprise!M37</f>
        <v>34603.3702639091</v>
      </c>
      <c r="O17" s="65" t="n">
        <f aca="false">Subscriptions!S40+Subscriptions!S165+Subscriptions!S41+Subscriptions!S166+Subscriptions!S42+Subscriptions!S167+Enterprise!S30+IF(AND(Account_Register!$O$29&gt;=7,Account_Register!$O$29&lt;=9),Enterprise!S31,0)+IF(AND(Account_Register!$O$30&gt;=7,Account_Register!$O$30&lt;=9),Enterprise!S32,0)+IF(AND(Account_Register!$O$31&gt;=7,Account_Register!$O$31&lt;=9),Enterprise!S33,0)+IF(AND(Account_Register!$O$32&gt;=7,Account_Register!$O$32&lt;=9),Enterprise!S34,0)+IF(AND(Account_Register!$O$33&gt;=7,Account_Register!$O$33&lt;=9),Enterprise!S35,0)+IF(AND(Account_Register!$O$34&gt;=7,Account_Register!$O$34&lt;=9),Enterprise!S36,0)+Enterprise!K37+Enterprise!L37+Enterprise!M37</f>
        <v>34614.12029095</v>
      </c>
      <c r="P17" s="65" t="n">
        <f aca="false">Subscriptions!V40+Subscriptions!V165+Subscriptions!V41+Subscriptions!V166+Subscriptions!V42+Subscriptions!V167+Enterprise!V30+IF(AND(Account_Register!$O$29&gt;=7,Account_Register!$O$29&lt;=9),Enterprise!V31,0)+IF(AND(Account_Register!$O$30&gt;=7,Account_Register!$O$30&lt;=9),Enterprise!V32,0)+IF(AND(Account_Register!$O$31&gt;=7,Account_Register!$O$31&lt;=9),Enterprise!V33,0)+IF(AND(Account_Register!$O$32&gt;=7,Account_Register!$O$32&lt;=9),Enterprise!V34,0)+IF(AND(Account_Register!$O$33&gt;=7,Account_Register!$O$33&lt;=9),Enterprise!V35,0)+IF(AND(Account_Register!$O$34&gt;=7,Account_Register!$O$34&lt;=9),Enterprise!V36,0)+Enterprise!K37+Enterprise!L37+Enterprise!M37</f>
        <v>33921.2596210704</v>
      </c>
      <c r="Q17" s="65" t="n">
        <f aca="false">Subscriptions!Y40+Subscriptions!Y165+Subscriptions!Y41+Subscriptions!Y166+Subscriptions!Y42+Subscriptions!Y167+Enterprise!Y30+IF(AND(Account_Register!$O$29&gt;=7,Account_Register!$O$29&lt;=9),Enterprise!Y31,0)+IF(AND(Account_Register!$O$30&gt;=7,Account_Register!$O$30&lt;=9),Enterprise!Y32,0)+IF(AND(Account_Register!$O$31&gt;=7,Account_Register!$O$31&lt;=9),Enterprise!Y33,0)+IF(AND(Account_Register!$O$32&gt;=7,Account_Register!$O$32&lt;=9),Enterprise!Y34,0)+IF(AND(Account_Register!$O$33&gt;=7,Account_Register!$O$33&lt;=9),Enterprise!Y35,0)+IF(AND(Account_Register!$O$34&gt;=7,Account_Register!$O$34&lt;=9),Enterprise!Y36,0)+Enterprise!K37+Enterprise!L37+Enterprise!M37</f>
        <v>31908.6574081498</v>
      </c>
      <c r="R17" s="65" t="n">
        <f aca="false">Subscriptions!AB40+Subscriptions!AB165+Subscriptions!AB41+Subscriptions!AB166+Subscriptions!AB42+Subscriptions!AB167+Enterprise!AB30+IF(AND(Account_Register!$O$29&gt;=7,Account_Register!$O$29&lt;=9),Enterprise!AB31,0)+IF(AND(Account_Register!$O$30&gt;=7,Account_Register!$O$30&lt;=9),Enterprise!AB32,0)+IF(AND(Account_Register!$O$31&gt;=7,Account_Register!$O$31&lt;=9),Enterprise!AB33,0)+IF(AND(Account_Register!$O$32&gt;=7,Account_Register!$O$32&lt;=9),Enterprise!AB34,0)+IF(AND(Account_Register!$O$33&gt;=7,Account_Register!$O$33&lt;=9),Enterprise!AB35,0)+IF(AND(Account_Register!$O$34&gt;=7,Account_Register!$O$34&lt;=9),Enterprise!AB36,0)+Enterprise!K37+Enterprise!L37+Enterprise!M37</f>
        <v>31634.4531214575</v>
      </c>
    </row>
    <row r="18" customFormat="false" ht="15" hidden="false" customHeight="false" outlineLevel="0" collapsed="false">
      <c r="A18" s="0" t="s">
        <v>784</v>
      </c>
      <c r="B18" s="57" t="s">
        <v>766</v>
      </c>
      <c r="N18" s="65" t="n">
        <f aca="false">Subscriptions!P43+Subscriptions!P168+Subscriptions!P44+Subscriptions!P169+Subscriptions!P45+Subscriptions!P170+IF(AND(Account_Register!$O$29&gt;=10,Account_Register!$O$29&lt;=12),Enterprise!P31,0)+IF(AND(Account_Register!$O$30&gt;=10,Account_Register!$O$30&lt;=12),Enterprise!P32,0)+IF(AND(Account_Register!$O$31&gt;=10,Account_Register!$O$31&lt;=12),Enterprise!P33,0)+IF(AND(Account_Register!$O$32&gt;=10,Account_Register!$O$32&lt;=12),Enterprise!P34,0)+IF(AND(Account_Register!$O$33&gt;=10,Account_Register!$O$33&lt;=12),Enterprise!P35,0)+IF(AND(Account_Register!$O$34&gt;=10,Account_Register!$O$34&lt;=12),Enterprise!P36,0)+Enterprise!N37+Enterprise!O37+Enterprise!P37</f>
        <v>38850.7176561294</v>
      </c>
      <c r="O18" s="65" t="n">
        <f aca="false">Subscriptions!S43+Subscriptions!S168+Subscriptions!S44+Subscriptions!S169+Subscriptions!S45+Subscriptions!S170+IF(AND(Account_Register!$O$29&gt;=10,Account_Register!$O$29&lt;=12),Enterprise!S31,0)+IF(AND(Account_Register!$O$30&gt;=10,Account_Register!$O$30&lt;=12),Enterprise!S32,0)+IF(AND(Account_Register!$O$31&gt;=10,Account_Register!$O$31&lt;=12),Enterprise!S33,0)+IF(AND(Account_Register!$O$32&gt;=10,Account_Register!$O$32&lt;=12),Enterprise!S34,0)+IF(AND(Account_Register!$O$33&gt;=10,Account_Register!$O$33&lt;=12),Enterprise!S35,0)+IF(AND(Account_Register!$O$34&gt;=10,Account_Register!$O$34&lt;=12),Enterprise!S36,0)+Enterprise!N37+Enterprise!O37+Enterprise!P37</f>
        <v>38323.4270762663</v>
      </c>
      <c r="P18" s="65" t="n">
        <f aca="false">Subscriptions!V43+Subscriptions!V168+Subscriptions!V44+Subscriptions!V169+Subscriptions!V45+Subscriptions!V170+IF(AND(Account_Register!$O$29&gt;=10,Account_Register!$O$29&lt;=12),Enterprise!V31,0)+IF(AND(Account_Register!$O$30&gt;=10,Account_Register!$O$30&lt;=12),Enterprise!V32,0)+IF(AND(Account_Register!$O$31&gt;=10,Account_Register!$O$31&lt;=12),Enterprise!V33,0)+IF(AND(Account_Register!$O$32&gt;=10,Account_Register!$O$32&lt;=12),Enterprise!V34,0)+IF(AND(Account_Register!$O$33&gt;=10,Account_Register!$O$33&lt;=12),Enterprise!V35,0)+IF(AND(Account_Register!$O$34&gt;=10,Account_Register!$O$34&lt;=12),Enterprise!V36,0)+Enterprise!N37+Enterprise!O37+Enterprise!P37</f>
        <v>37473.3846028458</v>
      </c>
      <c r="Q18" s="65" t="n">
        <f aca="false">Subscriptions!Y43+Subscriptions!Y168+Subscriptions!Y44+Subscriptions!Y169+Subscriptions!Y45+Subscriptions!Y170+IF(AND(Account_Register!$O$29&gt;=10,Account_Register!$O$29&lt;=12),Enterprise!Y31,0)+IF(AND(Account_Register!$O$30&gt;=10,Account_Register!$O$30&lt;=12),Enterprise!Y32,0)+IF(AND(Account_Register!$O$31&gt;=10,Account_Register!$O$31&lt;=12),Enterprise!Y33,0)+IF(AND(Account_Register!$O$32&gt;=10,Account_Register!$O$32&lt;=12),Enterprise!Y34,0)+IF(AND(Account_Register!$O$33&gt;=10,Account_Register!$O$33&lt;=12),Enterprise!Y35,0)+IF(AND(Account_Register!$O$34&gt;=10,Account_Register!$O$34&lt;=12),Enterprise!Y36,0)+Enterprise!N37+Enterprise!O37+Enterprise!P37</f>
        <v>36690.7139975043</v>
      </c>
      <c r="R18" s="65" t="n">
        <f aca="false">Subscriptions!AB43+Subscriptions!AB168+Subscriptions!AB44+Subscriptions!AB169+Subscriptions!AB45+Subscriptions!AB170+IF(AND(Account_Register!$O$29&gt;=10,Account_Register!$O$29&lt;=12),Enterprise!AB31,0)+IF(AND(Account_Register!$O$30&gt;=10,Account_Register!$O$30&lt;=12),Enterprise!AB32,0)+IF(AND(Account_Register!$O$31&gt;=10,Account_Register!$O$31&lt;=12),Enterprise!AB33,0)+IF(AND(Account_Register!$O$32&gt;=10,Account_Register!$O$32&lt;=12),Enterprise!AB34,0)+IF(AND(Account_Register!$O$33&gt;=10,Account_Register!$O$33&lt;=12),Enterprise!AB35,0)+IF(AND(Account_Register!$O$34&gt;=10,Account_Register!$O$34&lt;=12),Enterprise!AB36,0)+Enterprise!N37+Enterprise!O37+Enterprise!P37</f>
        <v>34905.3763163733</v>
      </c>
    </row>
    <row r="19" customFormat="false" ht="15" hidden="false" customHeight="false" outlineLevel="0" collapsed="false">
      <c r="A19" s="0" t="s">
        <v>785</v>
      </c>
      <c r="B19" s="57" t="s">
        <v>767</v>
      </c>
      <c r="O19" s="65" t="n">
        <f aca="false">Subscriptions!S46+Subscriptions!S171+Subscriptions!S47+Subscriptions!S172+Subscriptions!S48+Subscriptions!S173+IF(AND(Account_Register!$O$29&gt;=13,Account_Register!$O$29&lt;=15),Enterprise!S31,0)+IF(AND(Account_Register!$O$30&gt;=13,Account_Register!$O$30&lt;=15),Enterprise!S32,0)+IF(AND(Account_Register!$O$31&gt;=13,Account_Register!$O$31&lt;=15),Enterprise!S33,0)+IF(AND(Account_Register!$O$32&gt;=13,Account_Register!$O$32&lt;=15),Enterprise!S34,0)+IF(AND(Account_Register!$O$33&gt;=13,Account_Register!$O$33&lt;=15),Enterprise!S35,0)+IF(AND(Account_Register!$O$34&gt;=13,Account_Register!$O$34&lt;=15),Enterprise!S36,0)+Enterprise!Q37+Enterprise!R37+Enterprise!S37</f>
        <v>44101.2317137488</v>
      </c>
      <c r="P19" s="65" t="n">
        <f aca="false">Subscriptions!V46+Subscriptions!V171+Subscriptions!V47+Subscriptions!V172+Subscriptions!V48+Subscriptions!V173+IF(AND(Account_Register!$O$29&gt;=13,Account_Register!$O$29&lt;=15),Enterprise!V31,0)+IF(AND(Account_Register!$O$30&gt;=13,Account_Register!$O$30&lt;=15),Enterprise!V32,0)+IF(AND(Account_Register!$O$31&gt;=13,Account_Register!$O$31&lt;=15),Enterprise!V33,0)+IF(AND(Account_Register!$O$32&gt;=13,Account_Register!$O$32&lt;=15),Enterprise!V34,0)+IF(AND(Account_Register!$O$33&gt;=13,Account_Register!$O$33&lt;=15),Enterprise!V35,0)+IF(AND(Account_Register!$O$34&gt;=13,Account_Register!$O$34&lt;=15),Enterprise!V36,0)+Enterprise!Q37+Enterprise!R37+Enterprise!S37</f>
        <v>42497.941532033</v>
      </c>
      <c r="Q19" s="65" t="n">
        <f aca="false">Subscriptions!Y46+Subscriptions!Y171+Subscriptions!Y47+Subscriptions!Y172+Subscriptions!Y48+Subscriptions!Y173+IF(AND(Account_Register!$O$29&gt;=13,Account_Register!$O$29&lt;=15),Enterprise!Y31,0)+IF(AND(Account_Register!$O$30&gt;=13,Account_Register!$O$30&lt;=15),Enterprise!Y32,0)+IF(AND(Account_Register!$O$31&gt;=13,Account_Register!$O$31&lt;=15),Enterprise!Y33,0)+IF(AND(Account_Register!$O$32&gt;=13,Account_Register!$O$32&lt;=15),Enterprise!Y34,0)+IF(AND(Account_Register!$O$33&gt;=13,Account_Register!$O$33&lt;=15),Enterprise!Y35,0)+IF(AND(Account_Register!$O$34&gt;=13,Account_Register!$O$34&lt;=15),Enterprise!Y36,0)+Enterprise!Q37+Enterprise!R37+Enterprise!S37</f>
        <v>41555.8365045915</v>
      </c>
      <c r="R19" s="65" t="n">
        <f aca="false">Subscriptions!AB46+Subscriptions!AB171+Subscriptions!AB47+Subscriptions!AB172+Subscriptions!AB48+Subscriptions!AB173+IF(AND(Account_Register!$O$29&gt;=13,Account_Register!$O$29&lt;=15),Enterprise!AB31,0)+IF(AND(Account_Register!$O$30&gt;=13,Account_Register!$O$30&lt;=15),Enterprise!AB32,0)+IF(AND(Account_Register!$O$31&gt;=13,Account_Register!$O$31&lt;=15),Enterprise!AB33,0)+IF(AND(Account_Register!$O$32&gt;=13,Account_Register!$O$32&lt;=15),Enterprise!AB34,0)+IF(AND(Account_Register!$O$33&gt;=13,Account_Register!$O$33&lt;=15),Enterprise!AB35,0)+IF(AND(Account_Register!$O$34&gt;=13,Account_Register!$O$34&lt;=15),Enterprise!AB36,0)+Enterprise!Q37+Enterprise!R37+Enterprise!S37</f>
        <v>40689.4637533879</v>
      </c>
    </row>
    <row r="20" customFormat="false" ht="15" hidden="false" customHeight="false" outlineLevel="0" collapsed="false">
      <c r="A20" s="0" t="s">
        <v>786</v>
      </c>
      <c r="B20" s="57" t="s">
        <v>768</v>
      </c>
      <c r="P20" s="65" t="n">
        <f aca="false">Subscriptions!V49+Subscriptions!V174+Subscriptions!V50+Subscriptions!V175+Subscriptions!V51+Subscriptions!V176+IF(AND(Account_Register!$O$29&gt;=16,Account_Register!$O$29&lt;=18),Enterprise!V31,0)+IF(AND(Account_Register!$O$30&gt;=16,Account_Register!$O$30&lt;=18),Enterprise!V32,0)+IF(AND(Account_Register!$O$31&gt;=16,Account_Register!$O$31&lt;=18),Enterprise!V33,0)+IF(AND(Account_Register!$O$32&gt;=16,Account_Register!$O$32&lt;=18),Enterprise!V34,0)+IF(AND(Account_Register!$O$33&gt;=16,Account_Register!$O$33&lt;=18),Enterprise!V35,0)+IF(AND(Account_Register!$O$34&gt;=16,Account_Register!$O$34&lt;=18),Enterprise!V36,0)+Enterprise!T37+Enterprise!U37+Enterprise!V37</f>
        <v>37828.9311089608</v>
      </c>
      <c r="Q20" s="65" t="n">
        <f aca="false">Subscriptions!Y49+Subscriptions!Y174+Subscriptions!Y50+Subscriptions!Y175+Subscriptions!Y51+Subscriptions!Y176+IF(AND(Account_Register!$O$29&gt;=16,Account_Register!$O$29&lt;=18),Enterprise!Y31,0)+IF(AND(Account_Register!$O$30&gt;=16,Account_Register!$O$30&lt;=18),Enterprise!Y32,0)+IF(AND(Account_Register!$O$31&gt;=16,Account_Register!$O$31&lt;=18),Enterprise!Y33,0)+IF(AND(Account_Register!$O$32&gt;=16,Account_Register!$O$32&lt;=18),Enterprise!Y34,0)+IF(AND(Account_Register!$O$33&gt;=16,Account_Register!$O$33&lt;=18),Enterprise!Y35,0)+IF(AND(Account_Register!$O$34&gt;=16,Account_Register!$O$34&lt;=18),Enterprise!Y36,0)+Enterprise!T37+Enterprise!U37+Enterprise!V37</f>
        <v>36407.1033700404</v>
      </c>
      <c r="R20" s="65" t="n">
        <f aca="false">Subscriptions!AB49+Subscriptions!AB174+Subscriptions!AB50+Subscriptions!AB175+Subscriptions!AB51+Subscriptions!AB176+IF(AND(Account_Register!$O$29&gt;=16,Account_Register!$O$29&lt;=18),Enterprise!AB31,0)+IF(AND(Account_Register!$O$30&gt;=16,Account_Register!$O$30&lt;=18),Enterprise!AB32,0)+IF(AND(Account_Register!$O$31&gt;=16,Account_Register!$O$31&lt;=18),Enterprise!AB33,0)+IF(AND(Account_Register!$O$32&gt;=16,Account_Register!$O$32&lt;=18),Enterprise!AB34,0)+IF(AND(Account_Register!$O$33&gt;=16,Account_Register!$O$33&lt;=18),Enterprise!AB35,0)+IF(AND(Account_Register!$O$34&gt;=16,Account_Register!$O$34&lt;=18),Enterprise!AB36,0)+Enterprise!T37+Enterprise!U37+Enterprise!V37</f>
        <v>35576.7264840091</v>
      </c>
    </row>
    <row r="21" customFormat="false" ht="15" hidden="false" customHeight="false" outlineLevel="0" collapsed="false">
      <c r="A21" s="0" t="s">
        <v>787</v>
      </c>
      <c r="B21" s="57" t="s">
        <v>769</v>
      </c>
      <c r="Q21" s="65" t="n">
        <f aca="false">Subscriptions!Y52+Subscriptions!Y177+Subscriptions!Y53+Subscriptions!Y178+Subscriptions!Y54+Subscriptions!Y179+IF(AND(Account_Register!$O$29&gt;=19,Account_Register!$O$29&lt;=21),Enterprise!Y31,0)+IF(AND(Account_Register!$O$30&gt;=19,Account_Register!$O$30&lt;=21),Enterprise!Y32,0)+IF(AND(Account_Register!$O$31&gt;=19,Account_Register!$O$31&lt;=21),Enterprise!Y33,0)+IF(AND(Account_Register!$O$32&gt;=19,Account_Register!$O$32&lt;=21),Enterprise!Y34,0)+IF(AND(Account_Register!$O$33&gt;=19,Account_Register!$O$33&lt;=21),Enterprise!Y35,0)+IF(AND(Account_Register!$O$34&gt;=19,Account_Register!$O$34&lt;=21),Enterprise!Y36,0)+Enterprise!W37+Enterprise!X37+Enterprise!Y37</f>
        <v>38643.317851818</v>
      </c>
      <c r="R21" s="65" t="n">
        <f aca="false">Subscriptions!AB52+Subscriptions!AB177+Subscriptions!AB53+Subscriptions!AB178+Subscriptions!AB54+Subscriptions!AB179+IF(AND(Account_Register!$O$29&gt;=19,Account_Register!$O$29&lt;=21),Enterprise!AB31,0)+IF(AND(Account_Register!$O$30&gt;=19,Account_Register!$O$30&lt;=21),Enterprise!AB32,0)+IF(AND(Account_Register!$O$31&gt;=19,Account_Register!$O$31&lt;=21),Enterprise!AB33,0)+IF(AND(Account_Register!$O$32&gt;=19,Account_Register!$O$32&lt;=21),Enterprise!AB34,0)+IF(AND(Account_Register!$O$33&gt;=19,Account_Register!$O$33&lt;=21),Enterprise!AB35,0)+IF(AND(Account_Register!$O$34&gt;=19,Account_Register!$O$34&lt;=21),Enterprise!AB36,0)+Enterprise!W37+Enterprise!X37+Enterprise!Y37</f>
        <v>37357.0293675929</v>
      </c>
    </row>
    <row r="22" customFormat="false" ht="15" hidden="false" customHeight="false" outlineLevel="0" collapsed="false">
      <c r="A22" s="0" t="s">
        <v>788</v>
      </c>
      <c r="B22" s="57" t="s">
        <v>770</v>
      </c>
      <c r="R22" s="65" t="n">
        <f aca="false">Subscriptions!AB55+Subscriptions!AB180+Subscriptions!AB56+Subscriptions!AB181+Subscriptions!AB57+Subscriptions!AB182+IF(AND(Account_Register!$O$29&gt;=22,Account_Register!$O$29&lt;=24),Enterprise!AB31,0)+IF(AND(Account_Register!$O$30&gt;=22,Account_Register!$O$30&lt;=24),Enterprise!AB32,0)+IF(AND(Account_Register!$O$31&gt;=22,Account_Register!$O$31&lt;=24),Enterprise!AB33,0)+IF(AND(Account_Register!$O$32&gt;=22,Account_Register!$O$32&lt;=24),Enterprise!AB34,0)+IF(AND(Account_Register!$O$33&gt;=22,Account_Register!$O$33&lt;=24),Enterprise!AB35,0)+IF(AND(Account_Register!$O$34&gt;=22,Account_Register!$O$34&lt;=24),Enterprise!AB36,0)+Enterprise!Z37+Enterprise!AA37+Enterprise!AB37</f>
        <v>42557.2535389359</v>
      </c>
    </row>
    <row r="23" customFormat="false" ht="15" hidden="false" customHeight="false" outlineLevel="0" collapsed="false">
      <c r="A23" s="0" t="s">
        <v>789</v>
      </c>
      <c r="C23" s="74" t="n">
        <f aca="false">History!C131-SUM(C7:C22)</f>
        <v>234912.23</v>
      </c>
      <c r="D23" s="74" t="n">
        <f aca="false">History!D131-SUM(D7:D22)</f>
        <v>232482.37</v>
      </c>
      <c r="E23" s="74" t="n">
        <f aca="false">History!E131-SUM(E7:E22)</f>
        <v>225077.4</v>
      </c>
      <c r="F23" s="74" t="n">
        <f aca="false">History!F131-SUM(F7:F22)</f>
        <v>223741.93</v>
      </c>
      <c r="G23" s="74" t="n">
        <f aca="false">History!G131-SUM(G7:G22)</f>
        <v>228418.05</v>
      </c>
      <c r="H23" s="74" t="n">
        <f aca="false">History!H131-SUM(H7:H22)</f>
        <v>223816.71</v>
      </c>
      <c r="I23" s="74" t="n">
        <f aca="false">History!I131-SUM(I7:I22)</f>
        <v>222684.54</v>
      </c>
      <c r="J23" s="74" t="n">
        <f aca="false">History!J131-SUM(J7:J22)</f>
        <v>219907.54</v>
      </c>
      <c r="K23" s="65" t="n">
        <f aca="false">Subscriptions!G9+Subscriptions!G123+Subscriptions!G124+Subscriptions!G125+Subscriptions!G126+Subscriptions!G127+Subscriptions!G128+Subscriptions!G129+Subscriptions!G130+Subscriptions!G131+Subscriptions!G132+Subscriptions!G133+Subscriptions!G134+Enterprise!G9+Enterprise!G10+Enterprise!G11+Enterprise!G12+Enterprise!G13+Enterprise!G14+Enterprise!G15+Enterprise!G16</f>
        <v>213774.96</v>
      </c>
      <c r="L23" s="65" t="n">
        <f aca="false">Subscriptions!J9+Subscriptions!J123+Subscriptions!J124+Subscriptions!J125+Subscriptions!J126+Subscriptions!J127+Subscriptions!J128+Subscriptions!J129+Subscriptions!J130+Subscriptions!J131+Subscriptions!J132+Subscriptions!J133+Subscriptions!J134+Enterprise!J9+Enterprise!J10+Enterprise!J11+Enterprise!J12+Enterprise!J13+Enterprise!J14+Enterprise!J15+Enterprise!J16</f>
        <v>213669.26</v>
      </c>
      <c r="M23" s="65" t="n">
        <f aca="false">Subscriptions!M9+Subscriptions!M123+Subscriptions!M124+Subscriptions!M125+Subscriptions!M126+Subscriptions!M127+Subscriptions!M128+Subscriptions!M129+Subscriptions!M130+Subscriptions!M131+Subscriptions!M132+Subscriptions!M133+Subscriptions!M134+Enterprise!M9+Enterprise!M10+Enterprise!M11+Enterprise!M12+Enterprise!M13+Enterprise!M14+Enterprise!M15+Enterprise!M16</f>
        <v>212839.446606435</v>
      </c>
      <c r="N23" s="65" t="n">
        <f aca="false">Subscriptions!P9+Subscriptions!P123+Subscriptions!P124+Subscriptions!P125+Subscriptions!P126+Subscriptions!P127+Subscriptions!P128+Subscriptions!P129+Subscriptions!P130+Subscriptions!P131+Subscriptions!P132+Subscriptions!P133+Subscriptions!P134+Enterprise!P9+Enterprise!P10+Enterprise!P11+Enterprise!P12+Enterprise!P13+Enterprise!P14+Enterprise!P15+Enterprise!P16</f>
        <v>211646.208223553</v>
      </c>
      <c r="O23" s="65" t="n">
        <f aca="false">Subscriptions!S9+Subscriptions!S123+Subscriptions!S124+Subscriptions!S125+Subscriptions!S126+Subscriptions!S127+Subscriptions!S128+Subscriptions!S129+Subscriptions!S130+Subscriptions!S131+Subscriptions!S132+Subscriptions!S133+Subscriptions!S134+Enterprise!S9+Enterprise!S10+Enterprise!S11+Enterprise!S12+Enterprise!S13+Enterprise!S14+Enterprise!S15+Enterprise!S16</f>
        <v>210675.237671894</v>
      </c>
      <c r="P23" s="65" t="n">
        <f aca="false">Subscriptions!V9+Subscriptions!V123+Subscriptions!V124+Subscriptions!V125+Subscriptions!V126+Subscriptions!V127+Subscriptions!V128+Subscriptions!V129+Subscriptions!V130+Subscriptions!V131+Subscriptions!V132+Subscriptions!V133+Subscriptions!V134+Enterprise!V9+Enterprise!V10+Enterprise!V11+Enterprise!V12+Enterprise!V13+Enterprise!V14+Enterprise!V15+Enterprise!V16</f>
        <v>209632.554892789</v>
      </c>
      <c r="Q23" s="65" t="n">
        <f aca="false">Subscriptions!Y9+Subscriptions!Y123+Subscriptions!Y124+Subscriptions!Y125+Subscriptions!Y126+Subscriptions!Y127+Subscriptions!Y128+Subscriptions!Y129+Subscriptions!Y130+Subscriptions!Y131+Subscriptions!Y132+Subscriptions!Y133+Subscriptions!Y134+Enterprise!Y9+Enterprise!Y10+Enterprise!Y11+Enterprise!Y12+Enterprise!Y13+Enterprise!Y14+Enterprise!Y15+Enterprise!Y16</f>
        <v>208483.856037009</v>
      </c>
      <c r="R23" s="65" t="n">
        <f aca="false">Subscriptions!AB9+Subscriptions!AB123+Subscriptions!AB124+Subscriptions!AB125+Subscriptions!AB126+Subscriptions!AB127+Subscriptions!AB128+Subscriptions!AB129+Subscriptions!AB130+Subscriptions!AB131+Subscriptions!AB132+Subscriptions!AB133+Subscriptions!AB134+Enterprise!AB9+Enterprise!AB10+Enterprise!AB11+Enterprise!AB12+Enterprise!AB13+Enterprise!AB14+Enterprise!AB15+Enterprise!AB16</f>
        <v>207550.039700355</v>
      </c>
    </row>
    <row r="24" customFormat="false" ht="15" hidden="false" customHeight="false" outlineLevel="0" collapsed="false">
      <c r="A24" s="83" t="s">
        <v>744</v>
      </c>
      <c r="C24" s="84" t="n">
        <f aca="false">SUM(C7:C23)</f>
        <v>262595.46</v>
      </c>
      <c r="D24" s="84" t="n">
        <f aca="false">SUM(D7:D23)</f>
        <v>288175.57</v>
      </c>
      <c r="E24" s="84" t="n">
        <f aca="false">SUM(E7:E23)</f>
        <v>310587.59</v>
      </c>
      <c r="F24" s="84" t="n">
        <f aca="false">SUM(F7:F23)</f>
        <v>335652.5</v>
      </c>
      <c r="G24" s="84" t="n">
        <f aca="false">SUM(G7:G23)</f>
        <v>387426.66</v>
      </c>
      <c r="H24" s="84" t="n">
        <f aca="false">SUM(H7:H23)</f>
        <v>406600.74</v>
      </c>
      <c r="I24" s="84" t="n">
        <f aca="false">SUM(I7:I23)</f>
        <v>432316.9</v>
      </c>
      <c r="J24" s="84" t="n">
        <f aca="false">SUM(J7:J23)</f>
        <v>452847.26</v>
      </c>
      <c r="K24" s="84" t="n">
        <f aca="false">SUM(K7:K23)</f>
        <v>482200.14</v>
      </c>
      <c r="L24" s="84" t="n">
        <f aca="false">SUM(L7:L23)</f>
        <v>513884.04</v>
      </c>
      <c r="M24" s="84" t="n">
        <f aca="false">SUM(M7:M23)</f>
        <v>542423.62418892</v>
      </c>
      <c r="N24" s="84" t="n">
        <f aca="false">SUM(N7:N23)</f>
        <v>574062.633926032</v>
      </c>
      <c r="O24" s="84" t="n">
        <f aca="false">SUM(O7:O23)</f>
        <v>616824.736268837</v>
      </c>
      <c r="P24" s="84" t="n">
        <f aca="false">SUM(P7:P23)</f>
        <v>646282.024410461</v>
      </c>
      <c r="Q24" s="84" t="n">
        <f aca="false">SUM(Q7:Q23)</f>
        <v>676100.658698874</v>
      </c>
      <c r="R24" s="84" t="n">
        <f aca="false">SUM(R7:R23)</f>
        <v>710061.809331988</v>
      </c>
    </row>
    <row r="25" customFormat="false" ht="15" hidden="false" customHeight="false" outlineLevel="0" collapsed="false">
      <c r="A25" s="0" t="s">
        <v>790</v>
      </c>
      <c r="C25" s="65" t="n">
        <f aca="false">History!C131</f>
        <v>262595.46</v>
      </c>
      <c r="D25" s="65" t="n">
        <f aca="false">History!D131</f>
        <v>288175.57</v>
      </c>
      <c r="E25" s="65" t="n">
        <f aca="false">History!E131</f>
        <v>310587.59</v>
      </c>
      <c r="F25" s="65" t="n">
        <f aca="false">History!F131</f>
        <v>335652.5</v>
      </c>
      <c r="G25" s="65" t="n">
        <f aca="false">History!G131</f>
        <v>387426.66</v>
      </c>
      <c r="H25" s="65" t="n">
        <f aca="false">History!H131</f>
        <v>406600.74</v>
      </c>
      <c r="I25" s="65" t="n">
        <f aca="false">History!I131</f>
        <v>432316.9</v>
      </c>
      <c r="J25" s="65" t="n">
        <f aca="false">History!J131</f>
        <v>452847.26</v>
      </c>
      <c r="K25" s="65" t="n">
        <f aca="false">ARR_Bridge!G60</f>
        <v>482200.14</v>
      </c>
      <c r="L25" s="65" t="n">
        <f aca="false">ARR_Bridge!J60</f>
        <v>513884.04</v>
      </c>
      <c r="M25" s="65" t="n">
        <f aca="false">ARR_Bridge!M60</f>
        <v>542423.62418892</v>
      </c>
      <c r="N25" s="65" t="n">
        <f aca="false">ARR_Bridge!P60</f>
        <v>574062.633926032</v>
      </c>
      <c r="O25" s="65" t="n">
        <f aca="false">ARR_Bridge!S60</f>
        <v>616824.736268837</v>
      </c>
      <c r="P25" s="65" t="n">
        <f aca="false">ARR_Bridge!V60</f>
        <v>646282.024410461</v>
      </c>
      <c r="Q25" s="65" t="n">
        <f aca="false">ARR_Bridge!Y60</f>
        <v>676100.658698874</v>
      </c>
      <c r="R25" s="65" t="n">
        <f aca="false">ARR_Bridge!AB60</f>
        <v>710061.809331988</v>
      </c>
    </row>
    <row r="26" customFormat="false" ht="15" hidden="false" customHeight="false" outlineLevel="0" collapsed="false">
      <c r="A26" s="5" t="s">
        <v>791</v>
      </c>
      <c r="C26" s="36" t="n">
        <f aca="false">ROUND(C24-C25,2)</f>
        <v>0</v>
      </c>
      <c r="D26" s="36" t="n">
        <f aca="false">ROUND(D24-D25,2)</f>
        <v>0</v>
      </c>
      <c r="E26" s="36" t="n">
        <f aca="false">ROUND(E24-E25,2)</f>
        <v>0</v>
      </c>
      <c r="F26" s="36" t="n">
        <f aca="false">ROUND(F24-F25,2)</f>
        <v>0</v>
      </c>
      <c r="G26" s="36" t="n">
        <f aca="false">ROUND(G24-G25,2)</f>
        <v>0</v>
      </c>
      <c r="H26" s="36" t="n">
        <f aca="false">ROUND(H24-H25,2)</f>
        <v>0</v>
      </c>
      <c r="I26" s="36" t="n">
        <f aca="false">ROUND(I24-I25,2)</f>
        <v>0</v>
      </c>
      <c r="J26" s="36" t="n">
        <f aca="false">ROUND(J24-J25,2)</f>
        <v>0</v>
      </c>
      <c r="K26" s="36" t="n">
        <f aca="false">ROUND(K24-K25,2)</f>
        <v>0</v>
      </c>
      <c r="L26" s="36" t="n">
        <f aca="false">ROUND(L24-L25,2)</f>
        <v>0</v>
      </c>
      <c r="M26" s="36" t="n">
        <f aca="false">ROUND(M24-M25,2)</f>
        <v>0</v>
      </c>
      <c r="N26" s="36" t="n">
        <f aca="false">ROUND(N24-N25,2)</f>
        <v>0</v>
      </c>
      <c r="O26" s="36" t="n">
        <f aca="false">ROUND(O24-O25,2)</f>
        <v>0</v>
      </c>
      <c r="P26" s="36" t="n">
        <f aca="false">ROUND(P24-P25,2)</f>
        <v>0</v>
      </c>
      <c r="Q26" s="36" t="n">
        <f aca="false">ROUND(Q24-Q25,2)</f>
        <v>0</v>
      </c>
      <c r="R26" s="36" t="n">
        <f aca="false">ROUND(R24-R25,2)</f>
        <v>0</v>
      </c>
    </row>
    <row r="28" customFormat="false" ht="15" hidden="false" customHeight="false" outlineLevel="0" collapsed="false">
      <c r="A28" s="22" t="s">
        <v>792</v>
      </c>
      <c r="B28" s="23"/>
      <c r="C28" s="23"/>
      <c r="D28" s="23"/>
      <c r="E28" s="23"/>
      <c r="F28" s="23"/>
      <c r="G28" s="23"/>
      <c r="H28" s="23"/>
      <c r="I28" s="23"/>
      <c r="J28" s="23"/>
      <c r="K28" s="23"/>
      <c r="L28" s="23"/>
      <c r="M28" s="23"/>
      <c r="N28" s="23"/>
      <c r="O28" s="23"/>
      <c r="P28" s="23"/>
      <c r="Q28" s="23"/>
      <c r="R28" s="23"/>
      <c r="S28" s="23"/>
      <c r="T28" s="23"/>
    </row>
    <row r="29" customFormat="false" ht="30" hidden="false" customHeight="true" outlineLevel="0" collapsed="false">
      <c r="A29" s="26" t="s">
        <v>753</v>
      </c>
      <c r="B29" s="27" t="s">
        <v>754</v>
      </c>
      <c r="C29" s="27" t="s">
        <v>755</v>
      </c>
      <c r="D29" s="27" t="s">
        <v>756</v>
      </c>
      <c r="E29" s="27" t="s">
        <v>757</v>
      </c>
      <c r="F29" s="27" t="s">
        <v>758</v>
      </c>
      <c r="G29" s="27" t="s">
        <v>759</v>
      </c>
      <c r="H29" s="27" t="s">
        <v>760</v>
      </c>
      <c r="I29" s="27" t="s">
        <v>761</v>
      </c>
      <c r="J29" s="27" t="s">
        <v>762</v>
      </c>
      <c r="K29" s="27" t="s">
        <v>763</v>
      </c>
      <c r="L29" s="27" t="s">
        <v>764</v>
      </c>
      <c r="M29" s="27" t="s">
        <v>765</v>
      </c>
      <c r="N29" s="27" t="s">
        <v>766</v>
      </c>
      <c r="O29" s="27" t="s">
        <v>767</v>
      </c>
      <c r="P29" s="27" t="s">
        <v>768</v>
      </c>
      <c r="Q29" s="27" t="s">
        <v>769</v>
      </c>
      <c r="R29" s="27" t="s">
        <v>770</v>
      </c>
      <c r="S29" s="27" t="s">
        <v>771</v>
      </c>
      <c r="T29" s="27" t="s">
        <v>772</v>
      </c>
    </row>
    <row r="30" customFormat="false" ht="15" hidden="false" customHeight="false" outlineLevel="0" collapsed="false">
      <c r="A30" s="0" t="s">
        <v>773</v>
      </c>
      <c r="B30" s="57" t="s">
        <v>755</v>
      </c>
      <c r="C30" s="118" t="n">
        <f aca="false">IF(C7=0,0,C7/C7)</f>
        <v>1</v>
      </c>
      <c r="D30" s="118" t="n">
        <f aca="false">IF(C7=0,0,D7/C7)</f>
        <v>0.951869055742412</v>
      </c>
      <c r="E30" s="118" t="n">
        <f aca="false">IF(C7=0,0,E7/C7)</f>
        <v>0.923976356805185</v>
      </c>
      <c r="F30" s="118" t="n">
        <f aca="false">IF(C7=0,0,F7/C7)</f>
        <v>0.890518917048336</v>
      </c>
      <c r="G30" s="118" t="n">
        <f aca="false">IF(C7=0,0,G7/C7)</f>
        <v>0.9309032941604</v>
      </c>
      <c r="H30" s="118" t="n">
        <f aca="false">IF(C7=0,0,H7/C7)</f>
        <v>0.932621301777285</v>
      </c>
      <c r="I30" s="118" t="n">
        <f aca="false">IF(C7=0,0,I7/C7)</f>
        <v>0.910098640946161</v>
      </c>
      <c r="J30" s="118" t="n">
        <f aca="false">IF(C7=0,0,J7/C7)</f>
        <v>0.887857016684831</v>
      </c>
      <c r="K30" s="118" t="n">
        <f aca="false">IF(C7=0,0,K7/C7)</f>
        <v>0.901538223682713</v>
      </c>
      <c r="L30" s="118" t="n">
        <f aca="false">IF(C7=0,0,L7/C7)</f>
        <v>0.91853660140092</v>
      </c>
      <c r="M30" s="118" t="n">
        <f aca="false">IF(C7=0,0,M7/C7)</f>
        <v>0.90946647082006</v>
      </c>
      <c r="N30" s="118" t="n">
        <f aca="false">IF(C7=0,0,N7/C7)</f>
        <v>0.894870729869125</v>
      </c>
      <c r="O30" s="118" t="n">
        <f aca="false">IF(C7=0,0,O7/C7)</f>
        <v>0.906360627155711</v>
      </c>
      <c r="P30" s="118" t="n">
        <f aca="false">IF(C7=0,0,P7/C7)</f>
        <v>0.892137994336624</v>
      </c>
      <c r="Q30" s="118" t="n">
        <f aca="false">IF(C7=0,0,Q7/C7)</f>
        <v>0.878461336247651</v>
      </c>
      <c r="R30" s="118" t="n">
        <f aca="false">IF(C7=0,0,R7/C7)</f>
        <v>0.865311668709599</v>
      </c>
      <c r="S30" s="37" t="n">
        <f aca="false">G30</f>
        <v>0.9309032941604</v>
      </c>
      <c r="T30" s="37" t="n">
        <f aca="false">K30</f>
        <v>0.901538223682713</v>
      </c>
    </row>
    <row r="31" customFormat="false" ht="15" hidden="false" customHeight="false" outlineLevel="0" collapsed="false">
      <c r="A31" s="0" t="s">
        <v>774</v>
      </c>
      <c r="B31" s="57" t="s">
        <v>756</v>
      </c>
      <c r="D31" s="118" t="n">
        <f aca="false">IF(D8=0,0,D8/D8)</f>
        <v>1</v>
      </c>
      <c r="E31" s="118" t="n">
        <f aca="false">IF(D8=0,0,E8/D8)</f>
        <v>0.985390419798796</v>
      </c>
      <c r="F31" s="118" t="n">
        <f aca="false">IF(D8=0,0,F8/D8)</f>
        <v>0.96145371934597</v>
      </c>
      <c r="G31" s="118" t="n">
        <f aca="false">IF(D8=0,0,G8/D8)</f>
        <v>0.963801857994526</v>
      </c>
      <c r="H31" s="118" t="n">
        <f aca="false">IF(D8=0,0,H8/D8)</f>
        <v>0.940917219081336</v>
      </c>
      <c r="I31" s="118" t="n">
        <f aca="false">IF(D8=0,0,I8/D8)</f>
        <v>0.93901348867628</v>
      </c>
      <c r="J31" s="118" t="n">
        <f aca="false">IF(D8=0,0,J8/D8)</f>
        <v>0.937828854432103</v>
      </c>
      <c r="K31" s="118" t="n">
        <f aca="false">IF(D8=0,0,K8/D8)</f>
        <v>0.949356545257561</v>
      </c>
      <c r="L31" s="118" t="n">
        <f aca="false">IF(D8=0,0,L8/D8)</f>
        <v>0.926523026924528</v>
      </c>
      <c r="M31" s="118" t="n">
        <f aca="false">IF(D8=0,0,M8/D8)</f>
        <v>0.924745413853473</v>
      </c>
      <c r="N31" s="118" t="n">
        <f aca="false">IF(D8=0,0,N8/D8)</f>
        <v>0.921686664364249</v>
      </c>
      <c r="O31" s="118" t="n">
        <f aca="false">IF(D8=0,0,O8/D8)</f>
        <v>0.930568723489642</v>
      </c>
      <c r="P31" s="118" t="n">
        <f aca="false">IF(D8=0,0,P8/D8)</f>
        <v>0.917581242886974</v>
      </c>
      <c r="Q31" s="118" t="n">
        <f aca="false">IF(D8=0,0,Q8/D8)</f>
        <v>0.915206192319272</v>
      </c>
      <c r="R31" s="118" t="n">
        <f aca="false">IF(D8=0,0,R8/D8)</f>
        <v>0.913230690559639</v>
      </c>
      <c r="S31" s="37" t="n">
        <f aca="false">H31</f>
        <v>0.940917219081336</v>
      </c>
      <c r="T31" s="37" t="n">
        <f aca="false">L31</f>
        <v>0.926523026924528</v>
      </c>
    </row>
    <row r="32" customFormat="false" ht="15" hidden="false" customHeight="false" outlineLevel="0" collapsed="false">
      <c r="A32" s="0" t="s">
        <v>775</v>
      </c>
      <c r="B32" s="57" t="s">
        <v>757</v>
      </c>
      <c r="E32" s="118" t="n">
        <f aca="false">IF(E9=0,0,E9/E9)</f>
        <v>1</v>
      </c>
      <c r="F32" s="118" t="n">
        <f aca="false">IF(E9=0,0,F9/E9)</f>
        <v>0.997936348222941</v>
      </c>
      <c r="G32" s="118" t="n">
        <f aca="false">IF(E9=0,0,G9/E9)</f>
        <v>1.00871337550048</v>
      </c>
      <c r="H32" s="118" t="n">
        <f aca="false">IF(E9=0,0,H9/E9)</f>
        <v>0.989051780862813</v>
      </c>
      <c r="I32" s="118" t="n">
        <f aca="false">IF(E9=0,0,I9/E9)</f>
        <v>0.944065719619973</v>
      </c>
      <c r="J32" s="118" t="n">
        <f aca="false">IF(E9=0,0,J9/E9)</f>
        <v>0.941260558846315</v>
      </c>
      <c r="K32" s="118" t="n">
        <f aca="false">IF(E9=0,0,K9/E9)</f>
        <v>0.951332185391435</v>
      </c>
      <c r="L32" s="118" t="n">
        <f aca="false">IF(E9=0,0,L9/E9)</f>
        <v>0.941715136100752</v>
      </c>
      <c r="M32" s="118" t="n">
        <f aca="false">IF(E9=0,0,M9/E9)</f>
        <v>0.91668652866706</v>
      </c>
      <c r="N32" s="118" t="n">
        <f aca="false">IF(E9=0,0,N9/E9)</f>
        <v>0.912950445152399</v>
      </c>
      <c r="O32" s="118" t="n">
        <f aca="false">IF(E9=0,0,O9/E9)</f>
        <v>0.923714922870185</v>
      </c>
      <c r="P32" s="118" t="n">
        <f aca="false">IF(E9=0,0,P9/E9)</f>
        <v>0.920473920753811</v>
      </c>
      <c r="Q32" s="118" t="n">
        <f aca="false">IF(E9=0,0,Q9/E9)</f>
        <v>0.908967102515001</v>
      </c>
      <c r="R32" s="118" t="n">
        <f aca="false">IF(E9=0,0,R9/E9)</f>
        <v>0.906545559740644</v>
      </c>
      <c r="S32" s="37" t="n">
        <f aca="false">I32</f>
        <v>0.944065719619973</v>
      </c>
      <c r="T32" s="37" t="n">
        <f aca="false">M32</f>
        <v>0.91668652866706</v>
      </c>
    </row>
    <row r="33" customFormat="false" ht="15" hidden="false" customHeight="false" outlineLevel="0" collapsed="false">
      <c r="A33" s="0" t="s">
        <v>776</v>
      </c>
      <c r="B33" s="57" t="s">
        <v>758</v>
      </c>
      <c r="F33" s="118" t="n">
        <f aca="false">IF(F10=0,0,F10/F10)</f>
        <v>1</v>
      </c>
      <c r="G33" s="118" t="n">
        <f aca="false">IF(F10=0,0,G10/F10)</f>
        <v>0.968177436624692</v>
      </c>
      <c r="H33" s="118" t="n">
        <f aca="false">IF(F10=0,0,H10/F10)</f>
        <v>0.952035314185476</v>
      </c>
      <c r="I33" s="118" t="n">
        <f aca="false">IF(F10=0,0,I10/F10)</f>
        <v>0.941504561997027</v>
      </c>
      <c r="J33" s="118" t="n">
        <f aca="false">IF(F10=0,0,J10/F10)</f>
        <v>0.919639297532193</v>
      </c>
      <c r="K33" s="118" t="n">
        <f aca="false">IF(F10=0,0,K10/F10)</f>
        <v>0.910338034867098</v>
      </c>
      <c r="L33" s="118" t="n">
        <f aca="false">IF(F10=0,0,L10/F10)</f>
        <v>0.900497135225338</v>
      </c>
      <c r="M33" s="118" t="n">
        <f aca="false">IF(F10=0,0,M10/F10)</f>
        <v>0.89795954972349</v>
      </c>
      <c r="N33" s="118" t="n">
        <f aca="false">IF(F10=0,0,N10/F10)</f>
        <v>0.87814375464591</v>
      </c>
      <c r="O33" s="118" t="n">
        <f aca="false">IF(F10=0,0,O10/F10)</f>
        <v>0.88754117988194</v>
      </c>
      <c r="P33" s="118" t="n">
        <f aca="false">IF(F10=0,0,P10/F10)</f>
        <v>0.882112415939148</v>
      </c>
      <c r="Q33" s="118" t="n">
        <f aca="false">IF(F10=0,0,Q10/F10)</f>
        <v>0.87717758362693</v>
      </c>
      <c r="R33" s="118" t="n">
        <f aca="false">IF(F10=0,0,R10/F10)</f>
        <v>0.858499799170642</v>
      </c>
      <c r="S33" s="37" t="n">
        <f aca="false">J33</f>
        <v>0.919639297532193</v>
      </c>
      <c r="T33" s="37" t="n">
        <f aca="false">N33</f>
        <v>0.87814375464591</v>
      </c>
    </row>
    <row r="34" customFormat="false" ht="15" hidden="false" customHeight="false" outlineLevel="0" collapsed="false">
      <c r="A34" s="0" t="s">
        <v>777</v>
      </c>
      <c r="B34" s="57" t="s">
        <v>759</v>
      </c>
      <c r="G34" s="118" t="n">
        <f aca="false">IF(G11=0,0,G11/G11)</f>
        <v>1</v>
      </c>
      <c r="H34" s="118" t="n">
        <f aca="false">IF(G11=0,0,H11/G11)</f>
        <v>0.987828506798236</v>
      </c>
      <c r="I34" s="118" t="n">
        <f aca="false">IF(G11=0,0,I11/G11)</f>
        <v>0.981716507197626</v>
      </c>
      <c r="J34" s="118" t="n">
        <f aca="false">IF(G11=0,0,J11/G11)</f>
        <v>0.97543902762332</v>
      </c>
      <c r="K34" s="118" t="n">
        <f aca="false">IF(G11=0,0,K11/G11)</f>
        <v>0.915174405993603</v>
      </c>
      <c r="L34" s="118" t="n">
        <f aca="false">IF(G11=0,0,L11/G11)</f>
        <v>0.900693294381342</v>
      </c>
      <c r="M34" s="118" t="n">
        <f aca="false">IF(G11=0,0,M11/G11)</f>
        <v>0.896245987465699</v>
      </c>
      <c r="N34" s="118" t="n">
        <f aca="false">IF(G11=0,0,N11/G11)</f>
        <v>0.885727370136885</v>
      </c>
      <c r="O34" s="118" t="n">
        <f aca="false">IF(G11=0,0,O11/G11)</f>
        <v>0.893729225289775</v>
      </c>
      <c r="P34" s="118" t="n">
        <f aca="false">IF(G11=0,0,P11/G11)</f>
        <v>0.883580957284677</v>
      </c>
      <c r="Q34" s="118" t="n">
        <f aca="false">IF(G11=0,0,Q11/G11)</f>
        <v>0.873978371385111</v>
      </c>
      <c r="R34" s="118" t="n">
        <f aca="false">IF(G11=0,0,R11/G11)</f>
        <v>0.864904913267446</v>
      </c>
      <c r="S34" s="37" t="n">
        <f aca="false">K34</f>
        <v>0.915174405993603</v>
      </c>
      <c r="T34" s="37" t="n">
        <f aca="false">O34</f>
        <v>0.893729225289775</v>
      </c>
    </row>
    <row r="35" customFormat="false" ht="15" hidden="false" customHeight="false" outlineLevel="0" collapsed="false">
      <c r="A35" s="0" t="s">
        <v>778</v>
      </c>
      <c r="B35" s="57" t="s">
        <v>760</v>
      </c>
      <c r="H35" s="118" t="n">
        <f aca="false">IF(H12=0,0,H12/H12)</f>
        <v>1</v>
      </c>
      <c r="I35" s="118" t="n">
        <f aca="false">IF(H12=0,0,I12/H12)</f>
        <v>0.955181108569861</v>
      </c>
      <c r="J35" s="118" t="n">
        <f aca="false">IF(H12=0,0,J12/H12)</f>
        <v>0.919435030549429</v>
      </c>
      <c r="K35" s="118" t="n">
        <f aca="false">IF(H12=0,0,K12/H12)</f>
        <v>0.883710083366919</v>
      </c>
      <c r="L35" s="118" t="n">
        <f aca="false">IF(H12=0,0,L12/H12)</f>
        <v>0.81133542669501</v>
      </c>
      <c r="M35" s="118" t="n">
        <f aca="false">IF(H12=0,0,M12/H12)</f>
        <v>0.796045199323352</v>
      </c>
      <c r="N35" s="118" t="n">
        <f aca="false">IF(H12=0,0,N12/H12)</f>
        <v>0.785742266786903</v>
      </c>
      <c r="O35" s="118" t="n">
        <f aca="false">IF(H12=0,0,O12/H12)</f>
        <v>0.794197867537526</v>
      </c>
      <c r="P35" s="118" t="n">
        <f aca="false">IF(H12=0,0,P12/H12)</f>
        <v>0.78035668356471</v>
      </c>
      <c r="Q35" s="118" t="n">
        <f aca="false">IF(H12=0,0,Q12/H12)</f>
        <v>0.770983491923924</v>
      </c>
      <c r="R35" s="118" t="n">
        <f aca="false">IF(H12=0,0,R12/H12)</f>
        <v>0.762147707049589</v>
      </c>
      <c r="S35" s="37" t="n">
        <f aca="false">L35</f>
        <v>0.81133542669501</v>
      </c>
      <c r="T35" s="37" t="n">
        <f aca="false">P35</f>
        <v>0.78035668356471</v>
      </c>
    </row>
    <row r="36" customFormat="false" ht="15" hidden="false" customHeight="false" outlineLevel="0" collapsed="false">
      <c r="A36" s="0" t="s">
        <v>779</v>
      </c>
      <c r="B36" s="57" t="s">
        <v>761</v>
      </c>
      <c r="I36" s="118" t="n">
        <f aca="false">IF(I13=0,0,I13/I13)</f>
        <v>1</v>
      </c>
      <c r="J36" s="118" t="n">
        <f aca="false">IF(I13=0,0,J13/I13)</f>
        <v>0.96527526215793</v>
      </c>
      <c r="K36" s="118" t="n">
        <f aca="false">IF(I13=0,0,K13/I13)</f>
        <v>0.950358157243567</v>
      </c>
      <c r="L36" s="118" t="n">
        <f aca="false">IF(I13=0,0,L13/I13)</f>
        <v>0.928391701329236</v>
      </c>
      <c r="M36" s="118" t="n">
        <f aca="false">IF(I13=0,0,M13/I13)</f>
        <v>0.864575348726047</v>
      </c>
      <c r="N36" s="118" t="n">
        <f aca="false">IF(I13=0,0,N13/I13)</f>
        <v>0.8585577763755</v>
      </c>
      <c r="O36" s="118" t="n">
        <f aca="false">IF(I13=0,0,O13/I13)</f>
        <v>0.865532811345047</v>
      </c>
      <c r="P36" s="118" t="n">
        <f aca="false">IF(I13=0,0,P13/I13)</f>
        <v>0.859871390799964</v>
      </c>
      <c r="Q36" s="118" t="n">
        <f aca="false">IF(I13=0,0,Q13/I13)</f>
        <v>0.856037322454432</v>
      </c>
      <c r="R36" s="118" t="n">
        <f aca="false">IF(I13=0,0,R13/I13)</f>
        <v>0.851083657652137</v>
      </c>
      <c r="S36" s="37" t="n">
        <f aca="false">M36</f>
        <v>0.864575348726047</v>
      </c>
      <c r="T36" s="37" t="n">
        <f aca="false">Q36</f>
        <v>0.856037322454432</v>
      </c>
    </row>
    <row r="37" customFormat="false" ht="15" hidden="false" customHeight="false" outlineLevel="0" collapsed="false">
      <c r="A37" s="0" t="s">
        <v>780</v>
      </c>
      <c r="B37" s="57" t="s">
        <v>762</v>
      </c>
      <c r="J37" s="118" t="n">
        <f aca="false">IF(J14=0,0,J14/J14)</f>
        <v>1</v>
      </c>
      <c r="K37" s="118" t="n">
        <f aca="false">IF(J14=0,0,K14/J14)</f>
        <v>0.986093045297988</v>
      </c>
      <c r="L37" s="118" t="n">
        <f aca="false">IF(J14=0,0,L14/J14)</f>
        <v>0.935820706644306</v>
      </c>
      <c r="M37" s="118" t="n">
        <f aca="false">IF(J14=0,0,M14/J14)</f>
        <v>0.909191916494441</v>
      </c>
      <c r="N37" s="118" t="n">
        <f aca="false">IF(J14=0,0,N14/J14)</f>
        <v>0.859589222521447</v>
      </c>
      <c r="O37" s="118" t="n">
        <f aca="false">IF(J14=0,0,O14/J14)</f>
        <v>0.869303113618936</v>
      </c>
      <c r="P37" s="118" t="n">
        <f aca="false">IF(J14=0,0,P14/J14)</f>
        <v>0.857857655803183</v>
      </c>
      <c r="Q37" s="118" t="n">
        <f aca="false">IF(J14=0,0,Q14/J14)</f>
        <v>0.847053377324454</v>
      </c>
      <c r="R37" s="118" t="n">
        <f aca="false">IF(J14=0,0,R14/J14)</f>
        <v>0.833561091598759</v>
      </c>
      <c r="S37" s="37" t="n">
        <f aca="false">N37</f>
        <v>0.859589222521447</v>
      </c>
      <c r="T37" s="37" t="n">
        <f aca="false">R37</f>
        <v>0.833561091598759</v>
      </c>
    </row>
    <row r="38" customFormat="false" ht="15" hidden="false" customHeight="false" outlineLevel="0" collapsed="false">
      <c r="A38" s="0" t="s">
        <v>781</v>
      </c>
      <c r="B38" s="57" t="s">
        <v>763</v>
      </c>
      <c r="K38" s="118" t="n">
        <f aca="false">IF(K15=0,0,K15/K15)</f>
        <v>1</v>
      </c>
      <c r="L38" s="118" t="n">
        <f aca="false">IF(K15=0,0,L15/K15)</f>
        <v>0.941253339484043</v>
      </c>
      <c r="M38" s="118" t="n">
        <f aca="false">IF(K15=0,0,M15/K15)</f>
        <v>0.926115676672262</v>
      </c>
      <c r="N38" s="118" t="n">
        <f aca="false">IF(K15=0,0,N15/K15)</f>
        <v>0.90989991953166</v>
      </c>
      <c r="O38" s="118" t="n">
        <f aca="false">IF(K15=0,0,O15/K15)</f>
        <v>0.856214706583152</v>
      </c>
      <c r="P38" s="118" t="n">
        <f aca="false">IF(K15=0,0,P15/K15)</f>
        <v>0.850433243649694</v>
      </c>
      <c r="Q38" s="118" t="n">
        <f aca="false">IF(K15=0,0,Q15/K15)</f>
        <v>0.845272640170104</v>
      </c>
      <c r="R38" s="118" t="n">
        <f aca="false">IF(K15=0,0,R15/K15)</f>
        <v>0.840717491247025</v>
      </c>
      <c r="S38" s="37" t="n">
        <f aca="false">O38</f>
        <v>0.856214706583152</v>
      </c>
    </row>
    <row r="39" customFormat="false" ht="15" hidden="false" customHeight="false" outlineLevel="0" collapsed="false">
      <c r="A39" s="0" t="s">
        <v>782</v>
      </c>
      <c r="B39" s="57" t="s">
        <v>764</v>
      </c>
      <c r="L39" s="118" t="n">
        <f aca="false">IF(L16=0,0,L16/L16)</f>
        <v>1</v>
      </c>
      <c r="M39" s="118" t="n">
        <f aca="false">IF(L16=0,0,M16/L16)</f>
        <v>0.962954272737226</v>
      </c>
      <c r="N39" s="118" t="n">
        <f aca="false">IF(L16=0,0,N16/L16)</f>
        <v>0.945608833534306</v>
      </c>
      <c r="O39" s="118" t="n">
        <f aca="false">IF(L16=0,0,O16/L16)</f>
        <v>0.945936680432645</v>
      </c>
      <c r="P39" s="118" t="n">
        <f aca="false">IF(L16=0,0,P16/L16)</f>
        <v>0.905033004007237</v>
      </c>
      <c r="Q39" s="118" t="n">
        <f aca="false">IF(L16=0,0,Q16/L16)</f>
        <v>0.898157478580966</v>
      </c>
      <c r="R39" s="118" t="n">
        <f aca="false">IF(L16=0,0,R16/L16)</f>
        <v>0.891774770644987</v>
      </c>
      <c r="S39" s="37" t="n">
        <f aca="false">P39</f>
        <v>0.905033004007237</v>
      </c>
    </row>
    <row r="40" customFormat="false" ht="15" hidden="false" customHeight="false" outlineLevel="0" collapsed="false">
      <c r="A40" s="0" t="s">
        <v>783</v>
      </c>
      <c r="B40" s="57" t="s">
        <v>765</v>
      </c>
      <c r="M40" s="118" t="n">
        <f aca="false">IF(M17=0,0,M17/M17)</f>
        <v>1</v>
      </c>
      <c r="N40" s="118" t="n">
        <f aca="false">IF(M17=0,0,N17/M17)</f>
        <v>0.965065564497008</v>
      </c>
      <c r="O40" s="118" t="n">
        <f aca="false">IF(M17=0,0,O17/M17)</f>
        <v>0.96536537578231</v>
      </c>
      <c r="P40" s="118" t="n">
        <f aca="false">IF(M17=0,0,P17/M17)</f>
        <v>0.946041940856882</v>
      </c>
      <c r="Q40" s="118" t="n">
        <f aca="false">IF(M17=0,0,Q17/M17)</f>
        <v>0.88991176983866</v>
      </c>
      <c r="R40" s="118" t="n">
        <f aca="false">IF(M17=0,0,R17/M17)</f>
        <v>0.882264390039929</v>
      </c>
      <c r="S40" s="37" t="n">
        <f aca="false">Q40</f>
        <v>0.88991176983866</v>
      </c>
    </row>
    <row r="41" customFormat="false" ht="15" hidden="false" customHeight="false" outlineLevel="0" collapsed="false">
      <c r="A41" s="0" t="s">
        <v>784</v>
      </c>
      <c r="B41" s="57" t="s">
        <v>766</v>
      </c>
      <c r="N41" s="118" t="n">
        <f aca="false">IF(N18=0,0,N18/N18)</f>
        <v>1</v>
      </c>
      <c r="O41" s="118" t="n">
        <f aca="false">IF(N18=0,0,O18/N18)</f>
        <v>0.986427777614557</v>
      </c>
      <c r="P41" s="118" t="n">
        <f aca="false">IF(N18=0,0,P18/N18)</f>
        <v>0.96454806664128</v>
      </c>
      <c r="Q41" s="118" t="n">
        <f aca="false">IF(N18=0,0,Q18/N18)</f>
        <v>0.944402477252969</v>
      </c>
      <c r="R41" s="118" t="n">
        <f aca="false">IF(N18=0,0,R18/N18)</f>
        <v>0.898448688266801</v>
      </c>
      <c r="S41" s="37" t="n">
        <f aca="false">R41</f>
        <v>0.898448688266801</v>
      </c>
    </row>
    <row r="42" customFormat="false" ht="15" hidden="false" customHeight="false" outlineLevel="0" collapsed="false">
      <c r="A42" s="0" t="s">
        <v>785</v>
      </c>
      <c r="B42" s="57" t="s">
        <v>767</v>
      </c>
      <c r="O42" s="118" t="n">
        <f aca="false">IF(O19=0,0,O19/O19)</f>
        <v>1</v>
      </c>
      <c r="P42" s="118" t="n">
        <f aca="false">IF(O19=0,0,P19/O19)</f>
        <v>0.963645228955909</v>
      </c>
      <c r="Q42" s="118" t="n">
        <f aca="false">IF(O19=0,0,Q19/O19)</f>
        <v>0.942282899813801</v>
      </c>
      <c r="R42" s="118" t="n">
        <f aca="false">IF(O19=0,0,R19/O19)</f>
        <v>0.922637807884689</v>
      </c>
    </row>
    <row r="43" customFormat="false" ht="15" hidden="false" customHeight="false" outlineLevel="0" collapsed="false">
      <c r="A43" s="0" t="s">
        <v>786</v>
      </c>
      <c r="B43" s="57" t="s">
        <v>768</v>
      </c>
      <c r="P43" s="118" t="n">
        <f aca="false">IF(P20=0,0,P20/P20)</f>
        <v>1</v>
      </c>
      <c r="Q43" s="118" t="n">
        <f aca="false">IF(P20=0,0,Q20/P20)</f>
        <v>0.962414276659708</v>
      </c>
      <c r="R43" s="118" t="n">
        <f aca="false">IF(P20=0,0,R20/P20)</f>
        <v>0.940463434759376</v>
      </c>
    </row>
    <row r="44" customFormat="false" ht="15" hidden="false" customHeight="false" outlineLevel="0" collapsed="false">
      <c r="A44" s="0" t="s">
        <v>787</v>
      </c>
      <c r="B44" s="57" t="s">
        <v>769</v>
      </c>
      <c r="Q44" s="118" t="n">
        <f aca="false">IF(Q21=0,0,Q21/Q21)</f>
        <v>1</v>
      </c>
      <c r="R44" s="118" t="n">
        <f aca="false">IF(Q21=0,0,R21/Q21)</f>
        <v>0.966713818695446</v>
      </c>
    </row>
    <row r="45" customFormat="false" ht="15" hidden="false" customHeight="false" outlineLevel="0" collapsed="false">
      <c r="A45" s="0" t="s">
        <v>788</v>
      </c>
      <c r="B45" s="57" t="s">
        <v>770</v>
      </c>
      <c r="R45" s="118" t="n">
        <f aca="false">IF(R22=0,0,R22/R22)</f>
        <v>1</v>
      </c>
    </row>
    <row r="46" customFormat="false" ht="15" hidden="false" customHeight="false" outlineLevel="0" collapsed="false">
      <c r="A46" s="5" t="s">
        <v>793</v>
      </c>
      <c r="S46" s="37" t="n">
        <f aca="false">AVERAGE(S30:S33)</f>
        <v>0.933881382598476</v>
      </c>
      <c r="T46" s="37" t="n">
        <f aca="false">AVERAGE(T30:T33)</f>
        <v>0.905722883480053</v>
      </c>
    </row>
    <row r="47" customFormat="false" ht="15" hidden="false" customHeight="false" outlineLevel="0" collapsed="false">
      <c r="A47" s="5" t="s">
        <v>794</v>
      </c>
      <c r="S47" s="37" t="n">
        <f aca="false">AVERAGE(S34:S37)</f>
        <v>0.862668600984027</v>
      </c>
      <c r="T47" s="37" t="n">
        <f aca="false">AVERAGE(T34:T37)</f>
        <v>0.840921080726919</v>
      </c>
    </row>
    <row r="50" customFormat="false" ht="15" hidden="false" customHeight="false" outlineLevel="0" collapsed="false">
      <c r="A50" s="22" t="s">
        <v>795</v>
      </c>
      <c r="B50" s="23"/>
      <c r="C50" s="23"/>
      <c r="D50" s="23"/>
      <c r="E50" s="23"/>
      <c r="F50" s="23"/>
      <c r="G50" s="23"/>
      <c r="H50" s="23"/>
      <c r="I50" s="23"/>
      <c r="J50" s="23"/>
      <c r="K50" s="23"/>
      <c r="L50" s="23"/>
      <c r="M50" s="23"/>
      <c r="N50" s="23"/>
      <c r="O50" s="23"/>
      <c r="P50" s="23"/>
      <c r="Q50" s="23"/>
      <c r="R50" s="23"/>
      <c r="S50" s="23"/>
      <c r="T50" s="23"/>
    </row>
    <row r="51" customFormat="false" ht="30" hidden="false" customHeight="true" outlineLevel="0" collapsed="false">
      <c r="A51" s="26" t="s">
        <v>753</v>
      </c>
      <c r="B51" s="27" t="s">
        <v>754</v>
      </c>
      <c r="C51" s="27" t="s">
        <v>755</v>
      </c>
      <c r="D51" s="27" t="s">
        <v>756</v>
      </c>
      <c r="E51" s="27" t="s">
        <v>757</v>
      </c>
      <c r="F51" s="27" t="s">
        <v>758</v>
      </c>
      <c r="G51" s="27" t="s">
        <v>759</v>
      </c>
      <c r="H51" s="27" t="s">
        <v>760</v>
      </c>
      <c r="I51" s="27" t="s">
        <v>761</v>
      </c>
      <c r="J51" s="27" t="s">
        <v>762</v>
      </c>
      <c r="K51" s="27" t="s">
        <v>763</v>
      </c>
      <c r="L51" s="27" t="s">
        <v>764</v>
      </c>
      <c r="M51" s="27" t="s">
        <v>765</v>
      </c>
      <c r="N51" s="27" t="s">
        <v>766</v>
      </c>
      <c r="O51" s="27" t="s">
        <v>767</v>
      </c>
      <c r="P51" s="27" t="s">
        <v>768</v>
      </c>
      <c r="Q51" s="27" t="s">
        <v>769</v>
      </c>
      <c r="R51" s="27" t="s">
        <v>770</v>
      </c>
      <c r="S51" s="27" t="s">
        <v>771</v>
      </c>
      <c r="T51" s="27" t="s">
        <v>772</v>
      </c>
    </row>
    <row r="52" customFormat="false" ht="15" hidden="false" customHeight="false" outlineLevel="0" collapsed="false">
      <c r="A52" s="0" t="s">
        <v>773</v>
      </c>
      <c r="B52" s="57" t="s">
        <v>755</v>
      </c>
      <c r="C52" s="69" t="n">
        <f aca="false">History!C122</f>
        <v>82</v>
      </c>
      <c r="D52" s="69" t="n">
        <f aca="false">History!D122</f>
        <v>73</v>
      </c>
      <c r="E52" s="69" t="n">
        <f aca="false">History!E122</f>
        <v>67</v>
      </c>
      <c r="F52" s="69" t="n">
        <f aca="false">History!F122</f>
        <v>61</v>
      </c>
      <c r="G52" s="69" t="n">
        <f aca="false">History!G122</f>
        <v>58</v>
      </c>
      <c r="H52" s="69" t="n">
        <f aca="false">History!H122</f>
        <v>57</v>
      </c>
      <c r="I52" s="69" t="n">
        <f aca="false">History!I122</f>
        <v>53</v>
      </c>
      <c r="J52" s="69" t="n">
        <f aca="false">History!J122</f>
        <v>49</v>
      </c>
      <c r="K52" s="69" t="n">
        <f aca="false">Subscriptions!G61+Subscriptions!G197+Subscriptions!G62+Subscriptions!G198+Subscriptions!G63+Subscriptions!G199+Enterprise!G49+Enterprise!G50</f>
        <v>47</v>
      </c>
      <c r="L52" s="69" t="n">
        <f aca="false">Subscriptions!J61+Subscriptions!J197+Subscriptions!J62+Subscriptions!J198+Subscriptions!J63+Subscriptions!J199+Enterprise!J49+Enterprise!J50</f>
        <v>46</v>
      </c>
      <c r="M52" s="69" t="n">
        <f aca="false">Subscriptions!M61+Subscriptions!M197+Subscriptions!M62+Subscriptions!M198+Subscriptions!M63+Subscriptions!M199+Enterprise!M49+Enterprise!M50</f>
        <v>44.118</v>
      </c>
      <c r="N52" s="69" t="n">
        <f aca="false">Subscriptions!P61+Subscriptions!P197+Subscriptions!P62+Subscriptions!P198+Subscriptions!P63+Subscriptions!P199+Enterprise!P49+Enterprise!P50</f>
        <v>41.581584320202</v>
      </c>
      <c r="O52" s="69" t="n">
        <f aca="false">Subscriptions!S61+Subscriptions!S197+Subscriptions!S62+Subscriptions!S198+Subscriptions!S63+Subscriptions!S199+Enterprise!S49+Enterprise!S50</f>
        <v>38.9816306400325</v>
      </c>
      <c r="P52" s="69" t="n">
        <f aca="false">Subscriptions!V61+Subscriptions!V197+Subscriptions!V62+Subscriptions!V198+Subscriptions!V63+Subscriptions!V199+Enterprise!V49+Enterprise!V50</f>
        <v>36.7484874037459</v>
      </c>
      <c r="Q52" s="69" t="n">
        <f aca="false">Subscriptions!Y61+Subscriptions!Y197+Subscriptions!Y62+Subscriptions!Y198+Subscriptions!Y63+Subscriptions!Y199+Enterprise!Y49+Enterprise!Y50</f>
        <v>34.6530984239832</v>
      </c>
      <c r="R52" s="69" t="n">
        <f aca="false">Subscriptions!AB61+Subscriptions!AB197+Subscriptions!AB62+Subscriptions!AB198+Subscriptions!AB63+Subscriptions!AB199+Enterprise!AB49+Enterprise!AB50</f>
        <v>32.6869661557227</v>
      </c>
    </row>
    <row r="53" customFormat="false" ht="15" hidden="false" customHeight="false" outlineLevel="0" collapsed="false">
      <c r="A53" s="0" t="s">
        <v>774</v>
      </c>
      <c r="B53" s="57" t="s">
        <v>756</v>
      </c>
      <c r="D53" s="69" t="n">
        <f aca="false">History!D123</f>
        <v>68</v>
      </c>
      <c r="E53" s="69" t="n">
        <f aca="false">History!E123</f>
        <v>63</v>
      </c>
      <c r="F53" s="69" t="n">
        <f aca="false">History!F123</f>
        <v>57</v>
      </c>
      <c r="G53" s="69" t="n">
        <f aca="false">History!G123</f>
        <v>53</v>
      </c>
      <c r="H53" s="69" t="n">
        <f aca="false">History!H123</f>
        <v>50</v>
      </c>
      <c r="I53" s="69" t="n">
        <f aca="false">History!I123</f>
        <v>48</v>
      </c>
      <c r="J53" s="69" t="n">
        <f aca="false">History!J123</f>
        <v>46</v>
      </c>
      <c r="K53" s="69" t="n">
        <f aca="false">Subscriptions!G64+Subscriptions!G200+Subscriptions!G65+Subscriptions!G201+Subscriptions!G66+Subscriptions!G202+Enterprise!G51+Enterprise!G52</f>
        <v>44</v>
      </c>
      <c r="L53" s="69" t="n">
        <f aca="false">Subscriptions!J64+Subscriptions!J200+Subscriptions!J65+Subscriptions!J201+Subscriptions!J66+Subscriptions!J202+Enterprise!J51+Enterprise!J52</f>
        <v>40</v>
      </c>
      <c r="M53" s="69" t="n">
        <f aca="false">Subscriptions!M64+Subscriptions!M200+Subscriptions!M65+Subscriptions!M201+Subscriptions!M66+Subscriptions!M202+Enterprise!M51+Enterprise!M52</f>
        <v>38.412</v>
      </c>
      <c r="N53" s="69" t="n">
        <f aca="false">Subscriptions!P64+Subscriptions!P200+Subscriptions!P65+Subscriptions!P201+Subscriptions!P66+Subscriptions!P202+Enterprise!P51+Enterprise!P52</f>
        <v>36.721056213468</v>
      </c>
      <c r="O53" s="69" t="n">
        <f aca="false">Subscriptions!S64+Subscriptions!S200+Subscriptions!S65+Subscriptions!S201+Subscriptions!S66+Subscriptions!S202+Enterprise!S51+Enterprise!S52</f>
        <v>35.1344204266883</v>
      </c>
      <c r="P53" s="69" t="n">
        <f aca="false">Subscriptions!V64+Subscriptions!V200+Subscriptions!V65+Subscriptions!V201+Subscriptions!V66+Subscriptions!V202+Enterprise!V51+Enterprise!V52</f>
        <v>32.6056582691639</v>
      </c>
      <c r="Q53" s="69" t="n">
        <f aca="false">Subscriptions!Y64+Subscriptions!Y200+Subscriptions!Y65+Subscriptions!Y201+Subscriptions!Y66+Subscriptions!Y202+Enterprise!Y51+Enterprise!Y52</f>
        <v>31.2087322826555</v>
      </c>
      <c r="R53" s="69" t="n">
        <f aca="false">Subscriptions!AB64+Subscriptions!AB200+Subscriptions!AB65+Subscriptions!AB201+Subscriptions!AB66+Subscriptions!AB202+Enterprise!AB51+Enterprise!AB52</f>
        <v>29.8979774371484</v>
      </c>
    </row>
    <row r="54" customFormat="false" ht="15" hidden="false" customHeight="false" outlineLevel="0" collapsed="false">
      <c r="A54" s="0" t="s">
        <v>775</v>
      </c>
      <c r="B54" s="57" t="s">
        <v>757</v>
      </c>
      <c r="E54" s="69" t="n">
        <f aca="false">History!E124</f>
        <v>82</v>
      </c>
      <c r="F54" s="69" t="n">
        <f aca="false">History!F124</f>
        <v>79</v>
      </c>
      <c r="G54" s="69" t="n">
        <f aca="false">History!G124</f>
        <v>75</v>
      </c>
      <c r="H54" s="69" t="n">
        <f aca="false">History!H124</f>
        <v>69</v>
      </c>
      <c r="I54" s="69" t="n">
        <f aca="false">History!I124</f>
        <v>60</v>
      </c>
      <c r="J54" s="69" t="n">
        <f aca="false">History!J124</f>
        <v>58</v>
      </c>
      <c r="K54" s="69" t="n">
        <f aca="false">Subscriptions!G67+Subscriptions!G203+Subscriptions!G68+Subscriptions!G204+Subscriptions!G69+Subscriptions!G205+Enterprise!G53</f>
        <v>55</v>
      </c>
      <c r="L54" s="69" t="n">
        <f aca="false">Subscriptions!J67+Subscriptions!J203+Subscriptions!J68+Subscriptions!J204+Subscriptions!J69+Subscriptions!J205+Enterprise!J53</f>
        <v>52</v>
      </c>
      <c r="M54" s="69" t="n">
        <f aca="false">Subscriptions!M67+Subscriptions!M203+Subscriptions!M68+Subscriptions!M204+Subscriptions!M69+Subscriptions!M205+Enterprise!M53</f>
        <v>48.563</v>
      </c>
      <c r="N54" s="69" t="n">
        <f aca="false">Subscriptions!P67+Subscriptions!P203+Subscriptions!P68+Subscriptions!P204+Subscriptions!P69+Subscriptions!P205+Enterprise!P53</f>
        <v>46.328538567797</v>
      </c>
      <c r="O54" s="69" t="n">
        <f aca="false">Subscriptions!S67+Subscriptions!S203+Subscriptions!S68+Subscriptions!S204+Subscriptions!S69+Subscriptions!S205+Enterprise!S53</f>
        <v>44.2319127066953</v>
      </c>
      <c r="P54" s="69" t="n">
        <f aca="false">Subscriptions!V67+Subscriptions!V203+Subscriptions!V68+Subscriptions!V204+Subscriptions!V69+Subscriptions!V205+Enterprise!V53</f>
        <v>42.2646198556809</v>
      </c>
      <c r="Q54" s="69" t="n">
        <f aca="false">Subscriptions!Y67+Subscriptions!Y203+Subscriptions!Y68+Subscriptions!Y204+Subscriptions!Y69+Subscriptions!Y205+Enterprise!Y53</f>
        <v>39.2222819449376</v>
      </c>
      <c r="R54" s="69" t="n">
        <f aca="false">Subscriptions!AB67+Subscriptions!AB203+Subscriptions!AB68+Subscriptions!AB204+Subscriptions!AB69+Subscriptions!AB205+Enterprise!AB53</f>
        <v>37.4902130419462</v>
      </c>
    </row>
    <row r="55" customFormat="false" ht="15" hidden="false" customHeight="false" outlineLevel="0" collapsed="false">
      <c r="A55" s="0" t="s">
        <v>776</v>
      </c>
      <c r="B55" s="57" t="s">
        <v>758</v>
      </c>
      <c r="F55" s="69" t="n">
        <f aca="false">History!F125</f>
        <v>75</v>
      </c>
      <c r="G55" s="69" t="n">
        <f aca="false">History!G125</f>
        <v>65</v>
      </c>
      <c r="H55" s="69" t="n">
        <f aca="false">History!H125</f>
        <v>61</v>
      </c>
      <c r="I55" s="69" t="n">
        <f aca="false">History!I125</f>
        <v>58</v>
      </c>
      <c r="J55" s="69" t="n">
        <f aca="false">History!J125</f>
        <v>53</v>
      </c>
      <c r="K55" s="69" t="n">
        <f aca="false">Subscriptions!G70+Subscriptions!G206+Subscriptions!G71+Subscriptions!G207+Subscriptions!G72+Subscriptions!G208+Enterprise!G54</f>
        <v>48</v>
      </c>
      <c r="L55" s="69" t="n">
        <f aca="false">Subscriptions!J70+Subscriptions!J206+Subscriptions!J71+Subscriptions!J207+Subscriptions!J72+Subscriptions!J208+Enterprise!J54</f>
        <v>45</v>
      </c>
      <c r="M55" s="69" t="n">
        <f aca="false">Subscriptions!M70+Subscriptions!M206+Subscriptions!M71+Subscriptions!M207+Subscriptions!M72+Subscriptions!M208+Enterprise!M54</f>
        <v>43.286</v>
      </c>
      <c r="N55" s="69" t="n">
        <f aca="false">Subscriptions!P70+Subscriptions!P206+Subscriptions!P71+Subscriptions!P207+Subscriptions!P72+Subscriptions!P208+Enterprise!P54</f>
        <v>40.232711116354</v>
      </c>
      <c r="O55" s="69" t="n">
        <f aca="false">Subscriptions!S70+Subscriptions!S206+Subscriptions!S71+Subscriptions!S207+Subscriptions!S72+Subscriptions!S208+Enterprise!S54</f>
        <v>38.306081946693</v>
      </c>
      <c r="P55" s="69" t="n">
        <f aca="false">Subscriptions!V70+Subscriptions!V206+Subscriptions!V71+Subscriptions!V207+Subscriptions!V72+Subscriptions!V208+Enterprise!V54</f>
        <v>36.4982993268419</v>
      </c>
      <c r="Q55" s="69" t="n">
        <f aca="false">Subscriptions!Y70+Subscriptions!Y206+Subscriptions!Y71+Subscriptions!Y207+Subscriptions!Y72+Subscriptions!Y208+Enterprise!Y54</f>
        <v>34.8020320575102</v>
      </c>
      <c r="R55" s="69" t="n">
        <f aca="false">Subscriptions!AB70+Subscriptions!AB206+Subscriptions!AB71+Subscriptions!AB207+Subscriptions!AB72+Subscriptions!AB208+Enterprise!AB54</f>
        <v>32.3104011736803</v>
      </c>
    </row>
    <row r="56" customFormat="false" ht="15" hidden="false" customHeight="false" outlineLevel="0" collapsed="false">
      <c r="A56" s="0" t="s">
        <v>777</v>
      </c>
      <c r="B56" s="57" t="s">
        <v>759</v>
      </c>
      <c r="G56" s="69" t="n">
        <f aca="false">History!G126</f>
        <v>116</v>
      </c>
      <c r="H56" s="69" t="n">
        <f aca="false">History!H126</f>
        <v>109</v>
      </c>
      <c r="I56" s="69" t="n">
        <f aca="false">History!I126</f>
        <v>104</v>
      </c>
      <c r="J56" s="69" t="n">
        <f aca="false">History!J126</f>
        <v>99</v>
      </c>
      <c r="K56" s="69" t="n">
        <f aca="false">Subscriptions!G73+Subscriptions!G209+Subscriptions!G74+Subscriptions!G210+Subscriptions!G75+Subscriptions!G211+Enterprise!G55+Enterprise!G56</f>
        <v>90</v>
      </c>
      <c r="L56" s="69" t="n">
        <f aca="false">Subscriptions!J73+Subscriptions!J209+Subscriptions!J74+Subscriptions!J210+Subscriptions!J75+Subscriptions!J211+Enterprise!J55+Enterprise!J56</f>
        <v>84</v>
      </c>
      <c r="M56" s="69" t="n">
        <f aca="false">Subscriptions!M73+Subscriptions!M209+Subscriptions!M74+Subscriptions!M210+Subscriptions!M75+Subscriptions!M211+Enterprise!M55+Enterprise!M56</f>
        <v>80.488</v>
      </c>
      <c r="N56" s="69" t="n">
        <f aca="false">Subscriptions!P73+Subscriptions!P209+Subscriptions!P74+Subscriptions!P210+Subscriptions!P75+Subscriptions!P211+Enterprise!P55+Enterprise!P56</f>
        <v>76.139858834632</v>
      </c>
      <c r="O56" s="69" t="n">
        <f aca="false">Subscriptions!S73+Subscriptions!S209+Subscriptions!S74+Subscriptions!S210+Subscriptions!S75+Subscriptions!S211+Enterprise!S55+Enterprise!S56</f>
        <v>71.1399382400557</v>
      </c>
      <c r="P56" s="69" t="n">
        <f aca="false">Subscriptions!V73+Subscriptions!V209+Subscriptions!V74+Subscriptions!V210+Subscriptions!V75+Subscriptions!V211+Enterprise!V55+Enterprise!V56</f>
        <v>67.3116926921358</v>
      </c>
      <c r="Q56" s="69" t="n">
        <f aca="false">Subscriptions!Y73+Subscriptions!Y209+Subscriptions!Y74+Subscriptions!Y210+Subscriptions!Y75+Subscriptions!Y211+Enterprise!Y55+Enterprise!Y56</f>
        <v>63.7195972982569</v>
      </c>
      <c r="R56" s="69" t="n">
        <f aca="false">Subscriptions!AB73+Subscriptions!AB209+Subscriptions!AB74+Subscriptions!AB210+Subscriptions!AB75+Subscriptions!AB211+Enterprise!AB55+Enterprise!AB56</f>
        <v>60.3490848383817</v>
      </c>
    </row>
    <row r="57" customFormat="false" ht="15" hidden="false" customHeight="false" outlineLevel="0" collapsed="false">
      <c r="A57" s="0" t="s">
        <v>778</v>
      </c>
      <c r="B57" s="57" t="s">
        <v>760</v>
      </c>
      <c r="H57" s="69" t="n">
        <f aca="false">History!H127</f>
        <v>82</v>
      </c>
      <c r="I57" s="69" t="n">
        <f aca="false">History!I127</f>
        <v>73</v>
      </c>
      <c r="J57" s="69" t="n">
        <f aca="false">History!J127</f>
        <v>66</v>
      </c>
      <c r="K57" s="69" t="n">
        <f aca="false">Subscriptions!G76+Subscriptions!G212+Subscriptions!G77+Subscriptions!G213+Subscriptions!G78+Subscriptions!G214+Enterprise!G57</f>
        <v>57</v>
      </c>
      <c r="L57" s="69" t="n">
        <f aca="false">Subscriptions!J76+Subscriptions!J212+Subscriptions!J77+Subscriptions!J213+Subscriptions!J78+Subscriptions!J214+Enterprise!J57</f>
        <v>50</v>
      </c>
      <c r="M57" s="69" t="n">
        <f aca="false">Subscriptions!M76+Subscriptions!M212+Subscriptions!M77+Subscriptions!M213+Subscriptions!M78+Subscriptions!M214+Enterprise!M57</f>
        <v>47.118</v>
      </c>
      <c r="N57" s="69" t="n">
        <f aca="false">Subscriptions!P76+Subscriptions!P212+Subscriptions!P77+Subscriptions!P213+Subscriptions!P78+Subscriptions!P214+Enterprise!P57</f>
        <v>44.581584320202</v>
      </c>
      <c r="O57" s="69" t="n">
        <f aca="false">Subscriptions!S76+Subscriptions!S212+Subscriptions!S77+Subscriptions!S213+Subscriptions!S78+Subscriptions!S214+Enterprise!S57</f>
        <v>42.2016306400325</v>
      </c>
      <c r="P57" s="69" t="n">
        <f aca="false">Subscriptions!V76+Subscriptions!V212+Subscriptions!V77+Subscriptions!V213+Subscriptions!V78+Subscriptions!V214+Enterprise!V57</f>
        <v>39.4084874037459</v>
      </c>
      <c r="Q57" s="69" t="n">
        <f aca="false">Subscriptions!Y76+Subscriptions!Y212+Subscriptions!Y77+Subscriptions!Y213+Subscriptions!Y78+Subscriptions!Y214+Enterprise!Y57</f>
        <v>37.3130984239832</v>
      </c>
      <c r="R57" s="69" t="n">
        <f aca="false">Subscriptions!AB76+Subscriptions!AB212+Subscriptions!AB77+Subscriptions!AB213+Subscriptions!AB78+Subscriptions!AB214+Enterprise!AB57</f>
        <v>35.3469661557227</v>
      </c>
    </row>
    <row r="58" customFormat="false" ht="15" hidden="false" customHeight="false" outlineLevel="0" collapsed="false">
      <c r="A58" s="0" t="s">
        <v>779</v>
      </c>
      <c r="B58" s="57" t="s">
        <v>761</v>
      </c>
      <c r="I58" s="69" t="n">
        <f aca="false">History!I128</f>
        <v>66</v>
      </c>
      <c r="J58" s="69" t="n">
        <f aca="false">History!J128</f>
        <v>58</v>
      </c>
      <c r="K58" s="69" t="n">
        <f aca="false">Subscriptions!G79+Subscriptions!G215+Subscriptions!G80+Subscriptions!G216+Subscriptions!G81+Subscriptions!G217+Enterprise!G58+Enterprise!G59</f>
        <v>52</v>
      </c>
      <c r="L58" s="69" t="n">
        <f aca="false">Subscriptions!J79+Subscriptions!J215+Subscriptions!J80+Subscriptions!J216+Subscriptions!J81+Subscriptions!J217+Enterprise!J58+Enterprise!J59</f>
        <v>47</v>
      </c>
      <c r="M58" s="69" t="n">
        <f aca="false">Subscriptions!M79+Subscriptions!M215+Subscriptions!M80+Subscriptions!M216+Subscriptions!M81+Subscriptions!M217+Enterprise!M58+Enterprise!M59</f>
        <v>41.206</v>
      </c>
      <c r="N58" s="69" t="n">
        <f aca="false">Subscriptions!P79+Subscriptions!P215+Subscriptions!P80+Subscriptions!P216+Subscriptions!P81+Subscriptions!P217+Enterprise!P58+Enterprise!P59</f>
        <v>39.154561704184</v>
      </c>
      <c r="O58" s="69" t="n">
        <f aca="false">Subscriptions!S79+Subscriptions!S215+Subscriptions!S80+Subscriptions!S216+Subscriptions!S81+Subscriptions!S217+Enterprise!S58+Enterprise!S59</f>
        <v>37.2296689665091</v>
      </c>
      <c r="P58" s="69" t="n">
        <f aca="false">Subscriptions!V79+Subscriptions!V215+Subscriptions!V80+Subscriptions!V216+Subscriptions!V81+Subscriptions!V217+Enterprise!V58+Enterprise!V59</f>
        <v>35.4235156646474</v>
      </c>
      <c r="Q58" s="69" t="n">
        <f aca="false">Subscriptions!Y79+Subscriptions!Y215+Subscriptions!Y80+Subscriptions!Y216+Subscriptions!Y81+Subscriptions!Y217+Enterprise!Y58+Enterprise!Y59</f>
        <v>33.0212772067704</v>
      </c>
      <c r="R58" s="69" t="n">
        <f aca="false">Subscriptions!AB79+Subscriptions!AB215+Subscriptions!AB80+Subscriptions!AB216+Subscriptions!AB81+Subscriptions!AB217+Enterprise!AB58+Enterprise!AB59</f>
        <v>31.4310808277327</v>
      </c>
    </row>
    <row r="59" customFormat="false" ht="15" hidden="false" customHeight="false" outlineLevel="0" collapsed="false">
      <c r="A59" s="0" t="s">
        <v>780</v>
      </c>
      <c r="B59" s="57" t="s">
        <v>762</v>
      </c>
      <c r="J59" s="69" t="n">
        <f aca="false">History!J129</f>
        <v>87</v>
      </c>
      <c r="K59" s="69" t="n">
        <f aca="false">Subscriptions!G82+Subscriptions!G218+Subscriptions!G83+Subscriptions!G219+Subscriptions!G84+Subscriptions!G220+Enterprise!G60</f>
        <v>78</v>
      </c>
      <c r="L59" s="69" t="n">
        <f aca="false">Subscriptions!J82+Subscriptions!J218+Subscriptions!J83+Subscriptions!J219+Subscriptions!J84+Subscriptions!J220+Enterprise!J60</f>
        <v>69</v>
      </c>
      <c r="M59" s="69" t="n">
        <f aca="false">Subscriptions!M82+Subscriptions!M218+Subscriptions!M83+Subscriptions!M219+Subscriptions!M84+Subscriptions!M220+Enterprise!M60</f>
        <v>63.264</v>
      </c>
      <c r="N59" s="69" t="n">
        <f aca="false">Subscriptions!P82+Subscriptions!P218+Subscriptions!P83+Subscriptions!P219+Subscriptions!P84+Subscriptions!P220+Enterprise!P60</f>
        <v>57.430252172776</v>
      </c>
      <c r="O59" s="69" t="n">
        <f aca="false">Subscriptions!S82+Subscriptions!S218+Subscriptions!S83+Subscriptions!S219+Subscriptions!S84+Subscriptions!S220+Enterprise!S60</f>
        <v>54.3508584680603</v>
      </c>
      <c r="P59" s="69" t="n">
        <f aca="false">Subscriptions!V82+Subscriptions!V218+Subscriptions!V83+Subscriptions!V219+Subscriptions!V84+Subscriptions!V220+Enterprise!V60</f>
        <v>51.4614210471355</v>
      </c>
      <c r="Q59" s="69" t="n">
        <f aca="false">Subscriptions!Y82+Subscriptions!Y218+Subscriptions!Y83+Subscriptions!Y219+Subscriptions!Y84+Subscriptions!Y220+Enterprise!Y60</f>
        <v>48.750222217101</v>
      </c>
      <c r="R59" s="69" t="n">
        <f aca="false">Subscriptions!AB82+Subscriptions!AB218+Subscriptions!AB83+Subscriptions!AB219+Subscriptions!AB84+Subscriptions!AB220+Enterprise!AB60</f>
        <v>45.5027671057189</v>
      </c>
    </row>
    <row r="60" customFormat="false" ht="15" hidden="false" customHeight="false" outlineLevel="0" collapsed="false">
      <c r="A60" s="0" t="s">
        <v>781</v>
      </c>
      <c r="B60" s="57" t="s">
        <v>763</v>
      </c>
      <c r="K60" s="69" t="n">
        <f aca="false">Subscriptions!G85+Subscriptions!G221+Subscriptions!G86+Subscriptions!G222+Subscriptions!G87+Subscriptions!G223+IF(AND(Account_Register!$O$29&gt;=1,Account_Register!$O$29&lt;=3),Enterprise!G63,0)+IF(AND(Account_Register!$O$30&gt;=1,Account_Register!$O$30&lt;=3),Enterprise!G64,0)+IF(AND(Account_Register!$O$31&gt;=1,Account_Register!$O$31&lt;=3),Enterprise!G65,0)+IF(AND(Account_Register!$O$32&gt;=1,Account_Register!$O$32&lt;=3),Enterprise!G66,0)+IF(AND(Account_Register!$O$33&gt;=1,Account_Register!$O$33&lt;=3),Enterprise!G67,0)+IF(AND(Account_Register!$O$34&gt;=1,Account_Register!$O$34&lt;=3),Enterprise!G68,0)+(Enterprise!E69-0)+(Enterprise!F69-Enterprise!E69)+(Enterprise!G69-Enterprise!F69)</f>
        <v>117</v>
      </c>
      <c r="L60" s="69" t="n">
        <f aca="false">Subscriptions!J85+Subscriptions!J221+Subscriptions!J86+Subscriptions!J222+Subscriptions!J87+Subscriptions!J223+IF(AND(Account_Register!$O$29&gt;=1,Account_Register!$O$29&lt;=3),Enterprise!J63,0)+IF(AND(Account_Register!$O$30&gt;=1,Account_Register!$O$30&lt;=3),Enterprise!J64,0)+IF(AND(Account_Register!$O$31&gt;=1,Account_Register!$O$31&lt;=3),Enterprise!J65,0)+IF(AND(Account_Register!$O$32&gt;=1,Account_Register!$O$32&lt;=3),Enterprise!J66,0)+IF(AND(Account_Register!$O$33&gt;=1,Account_Register!$O$33&lt;=3),Enterprise!J67,0)+IF(AND(Account_Register!$O$34&gt;=1,Account_Register!$O$34&lt;=3),Enterprise!J68,0)+(Enterprise!E69-0)+(Enterprise!F69-Enterprise!E69)+(Enterprise!G69-Enterprise!F69)</f>
        <v>100</v>
      </c>
      <c r="M60" s="69" t="n">
        <f aca="false">Subscriptions!M85+Subscriptions!M221+Subscriptions!M86+Subscriptions!M222+Subscriptions!M87+Subscriptions!M223+IF(AND(Account_Register!$O$29&gt;=1,Account_Register!$O$29&lt;=3),Enterprise!M63,0)+IF(AND(Account_Register!$O$30&gt;=1,Account_Register!$O$30&lt;=3),Enterprise!M64,0)+IF(AND(Account_Register!$O$31&gt;=1,Account_Register!$O$31&lt;=3),Enterprise!M65,0)+IF(AND(Account_Register!$O$32&gt;=1,Account_Register!$O$32&lt;=3),Enterprise!M66,0)+IF(AND(Account_Register!$O$33&gt;=1,Account_Register!$O$33&lt;=3),Enterprise!M67,0)+IF(AND(Account_Register!$O$34&gt;=1,Account_Register!$O$34&lt;=3),Enterprise!M68,0)+(Enterprise!E69-0)+(Enterprise!F69-Enterprise!E69)+(Enterprise!G69-Enterprise!F69)</f>
        <v>93.644</v>
      </c>
      <c r="N60" s="69" t="n">
        <f aca="false">Subscriptions!P85+Subscriptions!P221+Subscriptions!P86+Subscriptions!P222+Subscriptions!P87+Subscriptions!P223+IF(AND(Account_Register!$O$29&gt;=1,Account_Register!$O$29&lt;=3),Enterprise!P63,0)+IF(AND(Account_Register!$O$30&gt;=1,Account_Register!$O$30&lt;=3),Enterprise!P64,0)+IF(AND(Account_Register!$O$31&gt;=1,Account_Register!$O$31&lt;=3),Enterprise!P65,0)+IF(AND(Account_Register!$O$32&gt;=1,Account_Register!$O$32&lt;=3),Enterprise!P66,0)+IF(AND(Account_Register!$O$33&gt;=1,Account_Register!$O$33&lt;=3),Enterprise!P67,0)+IF(AND(Account_Register!$O$34&gt;=1,Account_Register!$O$34&lt;=3),Enterprise!P68,0)+(Enterprise!E69-0)+(Enterprise!F69-Enterprise!E69)+(Enterprise!G69-Enterprise!F69)</f>
        <v>87.005229723596</v>
      </c>
      <c r="O60" s="69" t="n">
        <f aca="false">Subscriptions!S85+Subscriptions!S221+Subscriptions!S86+Subscriptions!S222+Subscriptions!S87+Subscriptions!S223+IF(AND(Account_Register!$O$29&gt;=1,Account_Register!$O$29&lt;=3),Enterprise!S63,0)+IF(AND(Account_Register!$O$30&gt;=1,Account_Register!$O$30&lt;=3),Enterprise!S64,0)+IF(AND(Account_Register!$O$31&gt;=1,Account_Register!$O$31&lt;=3),Enterprise!S65,0)+IF(AND(Account_Register!$O$32&gt;=1,Account_Register!$O$32&lt;=3),Enterprise!S66,0)+IF(AND(Account_Register!$O$33&gt;=1,Account_Register!$O$33&lt;=3),Enterprise!S67,0)+IF(AND(Account_Register!$O$34&gt;=1,Account_Register!$O$34&lt;=3),Enterprise!S68,0)+(Enterprise!E69-0)+(Enterprise!F69-Enterprise!E69)+(Enterprise!G69-Enterprise!F69)</f>
        <v>77.9712916330327</v>
      </c>
      <c r="P60" s="69" t="n">
        <f aca="false">Subscriptions!V85+Subscriptions!V221+Subscriptions!V86+Subscriptions!V222+Subscriptions!V87+Subscriptions!V223+IF(AND(Account_Register!$O$29&gt;=1,Account_Register!$O$29&lt;=3),Enterprise!V63,0)+IF(AND(Account_Register!$O$30&gt;=1,Account_Register!$O$30&lt;=3),Enterprise!V64,0)+IF(AND(Account_Register!$O$31&gt;=1,Account_Register!$O$31&lt;=3),Enterprise!V65,0)+IF(AND(Account_Register!$O$32&gt;=1,Account_Register!$O$32&lt;=3),Enterprise!V66,0)+IF(AND(Account_Register!$O$33&gt;=1,Account_Register!$O$33&lt;=3),Enterprise!V67,0)+IF(AND(Account_Register!$O$34&gt;=1,Account_Register!$O$34&lt;=3),Enterprise!V68,0)+(Enterprise!E69-0)+(Enterprise!F69-Enterprise!E69)+(Enterprise!G69-Enterprise!F69)</f>
        <v>74.1731888672503</v>
      </c>
      <c r="Q60" s="69" t="n">
        <f aca="false">Subscriptions!Y85+Subscriptions!Y221+Subscriptions!Y86+Subscriptions!Y222+Subscriptions!Y87+Subscriptions!Y223+IF(AND(Account_Register!$O$29&gt;=1,Account_Register!$O$29&lt;=3),Enterprise!Y63,0)+IF(AND(Account_Register!$O$30&gt;=1,Account_Register!$O$30&lt;=3),Enterprise!Y64,0)+IF(AND(Account_Register!$O$31&gt;=1,Account_Register!$O$31&lt;=3),Enterprise!Y65,0)+IF(AND(Account_Register!$O$32&gt;=1,Account_Register!$O$32&lt;=3),Enterprise!Y66,0)+IF(AND(Account_Register!$O$33&gt;=1,Account_Register!$O$33&lt;=3),Enterprise!Y67,0)+IF(AND(Account_Register!$O$34&gt;=1,Account_Register!$O$34&lt;=3),Enterprise!Y68,0)+(Enterprise!E69-0)+(Enterprise!F69-Enterprise!E69)+(Enterprise!G69-Enterprise!F69)</f>
        <v>70.6093768599828</v>
      </c>
      <c r="R60" s="69" t="n">
        <f aca="false">Subscriptions!AB85+Subscriptions!AB221+Subscriptions!AB86+Subscriptions!AB222+Subscriptions!AB87+Subscriptions!AB223+IF(AND(Account_Register!$O$29&gt;=1,Account_Register!$O$29&lt;=3),Enterprise!AB63,0)+IF(AND(Account_Register!$O$30&gt;=1,Account_Register!$O$30&lt;=3),Enterprise!AB64,0)+IF(AND(Account_Register!$O$31&gt;=1,Account_Register!$O$31&lt;=3),Enterprise!AB65,0)+IF(AND(Account_Register!$O$32&gt;=1,Account_Register!$O$32&lt;=3),Enterprise!AB66,0)+IF(AND(Account_Register!$O$33&gt;=1,Account_Register!$O$33&lt;=3),Enterprise!AB67,0)+IF(AND(Account_Register!$O$34&gt;=1,Account_Register!$O$34&lt;=3),Enterprise!AB68,0)+(Enterprise!E69-0)+(Enterprise!F69-Enterprise!E69)+(Enterprise!G69-Enterprise!F69)</f>
        <v>67.2654030903506</v>
      </c>
    </row>
    <row r="61" customFormat="false" ht="15" hidden="false" customHeight="false" outlineLevel="0" collapsed="false">
      <c r="A61" s="0" t="s">
        <v>782</v>
      </c>
      <c r="B61" s="57" t="s">
        <v>764</v>
      </c>
      <c r="L61" s="69" t="n">
        <f aca="false">Subscriptions!J88+Subscriptions!J224+Subscriptions!J89+Subscriptions!J225+Subscriptions!J90+Subscriptions!J226+Enterprise!J61+IF(AND(Account_Register!$O$29&gt;=4,Account_Register!$O$29&lt;=6),Enterprise!J63,0)+IF(AND(Account_Register!$O$30&gt;=4,Account_Register!$O$30&lt;=6),Enterprise!J64,0)+IF(AND(Account_Register!$O$31&gt;=4,Account_Register!$O$31&lt;=6),Enterprise!J65,0)+IF(AND(Account_Register!$O$32&gt;=4,Account_Register!$O$32&lt;=6),Enterprise!J66,0)+IF(AND(Account_Register!$O$33&gt;=4,Account_Register!$O$33&lt;=6),Enterprise!J67,0)+IF(AND(Account_Register!$O$34&gt;=4,Account_Register!$O$34&lt;=6),Enterprise!J68,0)+(Enterprise!H69-Enterprise!G69)+(Enterprise!I69-Enterprise!H69)+(Enterprise!J69-Enterprise!I69)</f>
        <v>90</v>
      </c>
      <c r="M61" s="69" t="n">
        <f aca="false">Subscriptions!M88+Subscriptions!M224+Subscriptions!M89+Subscriptions!M225+Subscriptions!M90+Subscriptions!M226+Enterprise!M61+IF(AND(Account_Register!$O$29&gt;=4,Account_Register!$O$29&lt;=6),Enterprise!M63,0)+IF(AND(Account_Register!$O$30&gt;=4,Account_Register!$O$30&lt;=6),Enterprise!M64,0)+IF(AND(Account_Register!$O$31&gt;=4,Account_Register!$O$31&lt;=6),Enterprise!M65,0)+IF(AND(Account_Register!$O$32&gt;=4,Account_Register!$O$32&lt;=6),Enterprise!M66,0)+IF(AND(Account_Register!$O$33&gt;=4,Account_Register!$O$33&lt;=6),Enterprise!M67,0)+IF(AND(Account_Register!$O$34&gt;=4,Account_Register!$O$34&lt;=6),Enterprise!M68,0)+(Enterprise!H69-Enterprise!G69)+(Enterprise!I69-Enterprise!H69)+(Enterprise!J69-Enterprise!I69)</f>
        <v>79.397</v>
      </c>
      <c r="N61" s="69" t="n">
        <f aca="false">Subscriptions!P88+Subscriptions!P224+Subscriptions!P89+Subscriptions!P225+Subscriptions!P90+Subscriptions!P226+Enterprise!P61+IF(AND(Account_Register!$O$29&gt;=4,Account_Register!$O$29&lt;=6),Enterprise!P63,0)+IF(AND(Account_Register!$O$30&gt;=4,Account_Register!$O$30&lt;=6),Enterprise!P64,0)+IF(AND(Account_Register!$O$31&gt;=4,Account_Register!$O$31&lt;=6),Enterprise!P65,0)+IF(AND(Account_Register!$O$32&gt;=4,Account_Register!$O$32&lt;=6),Enterprise!P66,0)+IF(AND(Account_Register!$O$33&gt;=4,Account_Register!$O$33&lt;=6),Enterprise!P67,0)+IF(AND(Account_Register!$O$34&gt;=4,Account_Register!$O$34&lt;=6),Enterprise!P68,0)+(Enterprise!H69-Enterprise!G69)+(Enterprise!I69-Enterprise!H69)+(Enterprise!J69-Enterprise!I69)</f>
        <v>73.411523517973</v>
      </c>
      <c r="O61" s="69" t="n">
        <f aca="false">Subscriptions!S88+Subscriptions!S224+Subscriptions!S89+Subscriptions!S225+Subscriptions!S90+Subscriptions!S226+Enterprise!S61+IF(AND(Account_Register!$O$29&gt;=4,Account_Register!$O$29&lt;=6),Enterprise!S63,0)+IF(AND(Account_Register!$O$30&gt;=4,Account_Register!$O$30&lt;=6),Enterprise!S64,0)+IF(AND(Account_Register!$O$31&gt;=4,Account_Register!$O$31&lt;=6),Enterprise!S65,0)+IF(AND(Account_Register!$O$32&gt;=4,Account_Register!$O$32&lt;=6),Enterprise!S66,0)+IF(AND(Account_Register!$O$33&gt;=4,Account_Register!$O$33&lt;=6),Enterprise!S67,0)+IF(AND(Account_Register!$O$34&gt;=4,Account_Register!$O$34&lt;=6),Enterprise!S68,0)+(Enterprise!H69-Enterprise!G69)+(Enterprise!I69-Enterprise!H69)+(Enterprise!J69-Enterprise!I69)</f>
        <v>67.9656185334067</v>
      </c>
      <c r="P61" s="69" t="n">
        <f aca="false">Subscriptions!V88+Subscriptions!V224+Subscriptions!V89+Subscriptions!V225+Subscriptions!V90+Subscriptions!V226+Enterprise!V61+IF(AND(Account_Register!$O$29&gt;=4,Account_Register!$O$29&lt;=6),Enterprise!V63,0)+IF(AND(Account_Register!$O$30&gt;=4,Account_Register!$O$30&lt;=6),Enterprise!V64,0)+IF(AND(Account_Register!$O$31&gt;=4,Account_Register!$O$31&lt;=6),Enterprise!V65,0)+IF(AND(Account_Register!$O$32&gt;=4,Account_Register!$O$32&lt;=6),Enterprise!V66,0)+IF(AND(Account_Register!$O$33&gt;=4,Account_Register!$O$33&lt;=6),Enterprise!V67,0)+IF(AND(Account_Register!$O$34&gt;=4,Account_Register!$O$34&lt;=6),Enterprise!V68,0)+(Enterprise!H69-Enterprise!G69)+(Enterprise!I69-Enterprise!H69)+(Enterprise!J69-Enterprise!I69)</f>
        <v>61.2693424326712</v>
      </c>
      <c r="Q61" s="69" t="n">
        <f aca="false">Subscriptions!Y88+Subscriptions!Y224+Subscriptions!Y89+Subscriptions!Y225+Subscriptions!Y90+Subscriptions!Y226+Enterprise!Y61+IF(AND(Account_Register!$O$29&gt;=4,Account_Register!$O$29&lt;=6),Enterprise!Y63,0)+IF(AND(Account_Register!$O$30&gt;=4,Account_Register!$O$30&lt;=6),Enterprise!Y64,0)+IF(AND(Account_Register!$O$31&gt;=4,Account_Register!$O$31&lt;=6),Enterprise!Y65,0)+IF(AND(Account_Register!$O$32&gt;=4,Account_Register!$O$32&lt;=6),Enterprise!Y66,0)+IF(AND(Account_Register!$O$33&gt;=4,Account_Register!$O$33&lt;=6),Enterprise!Y67,0)+IF(AND(Account_Register!$O$34&gt;=4,Account_Register!$O$34&lt;=6),Enterprise!Y68,0)+(Enterprise!H69-Enterprise!G69)+(Enterprise!I69-Enterprise!H69)+(Enterprise!J69-Enterprise!I69)</f>
        <v>58.155460540261</v>
      </c>
      <c r="R61" s="69" t="n">
        <f aca="false">Subscriptions!AB88+Subscriptions!AB224+Subscriptions!AB89+Subscriptions!AB225+Subscriptions!AB90+Subscriptions!AB226+Enterprise!AB61+IF(AND(Account_Register!$O$29&gt;=4,Account_Register!$O$29&lt;=6),Enterprise!AB63,0)+IF(AND(Account_Register!$O$30&gt;=4,Account_Register!$O$30&lt;=6),Enterprise!AB64,0)+IF(AND(Account_Register!$O$31&gt;=4,Account_Register!$O$31&lt;=6),Enterprise!AB65,0)+IF(AND(Account_Register!$O$32&gt;=4,Account_Register!$O$32&lt;=6),Enterprise!AB66,0)+IF(AND(Account_Register!$O$33&gt;=4,Account_Register!$O$33&lt;=6),Enterprise!AB67,0)+IF(AND(Account_Register!$O$34&gt;=4,Account_Register!$O$34&lt;=6),Enterprise!AB68,0)+(Enterprise!H69-Enterprise!G69)+(Enterprise!I69-Enterprise!H69)+(Enterprise!J69-Enterprise!I69)</f>
        <v>55.2336623789893</v>
      </c>
    </row>
    <row r="62" customFormat="false" ht="15" hidden="false" customHeight="false" outlineLevel="0" collapsed="false">
      <c r="A62" s="0" t="s">
        <v>783</v>
      </c>
      <c r="B62" s="57" t="s">
        <v>765</v>
      </c>
      <c r="M62" s="69" t="n">
        <f aca="false">Subscriptions!M91+Subscriptions!M227+Subscriptions!M92+Subscriptions!M228+Subscriptions!M93+Subscriptions!M229+Enterprise!M62+IF(AND(Account_Register!$O$29&gt;=7,Account_Register!$O$29&lt;=9),Enterprise!M63,0)+IF(AND(Account_Register!$O$30&gt;=7,Account_Register!$O$30&lt;=9),Enterprise!M64,0)+IF(AND(Account_Register!$O$31&gt;=7,Account_Register!$O$31&lt;=9),Enterprise!M65,0)+IF(AND(Account_Register!$O$32&gt;=7,Account_Register!$O$32&lt;=9),Enterprise!M66,0)+IF(AND(Account_Register!$O$33&gt;=7,Account_Register!$O$33&lt;=9),Enterprise!M67,0)+IF(AND(Account_Register!$O$34&gt;=7,Account_Register!$O$34&lt;=9),Enterprise!M68,0)+(Enterprise!K69-Enterprise!J69)+(Enterprise!L69-Enterprise!K69)+(Enterprise!M69-Enterprise!L69)</f>
        <v>95.74131</v>
      </c>
      <c r="N62" s="69" t="n">
        <f aca="false">Subscriptions!P91+Subscriptions!P227+Subscriptions!P92+Subscriptions!P228+Subscriptions!P93+Subscriptions!P229+Enterprise!P62+IF(AND(Account_Register!$O$29&gt;=7,Account_Register!$O$29&lt;=9),Enterprise!P63,0)+IF(AND(Account_Register!$O$30&gt;=7,Account_Register!$O$30&lt;=9),Enterprise!P64,0)+IF(AND(Account_Register!$O$31&gt;=7,Account_Register!$O$31&lt;=9),Enterprise!P65,0)+IF(AND(Account_Register!$O$32&gt;=7,Account_Register!$O$32&lt;=9),Enterprise!P66,0)+IF(AND(Account_Register!$O$33&gt;=7,Account_Register!$O$33&lt;=9),Enterprise!P67,0)+IF(AND(Account_Register!$O$34&gt;=7,Account_Register!$O$34&lt;=9),Enterprise!P68,0)+(Enterprise!K69-Enterprise!J69)+(Enterprise!L69-Enterprise!K69)+(Enterprise!M69-Enterprise!L69)</f>
        <v>85.940264816364</v>
      </c>
      <c r="O62" s="69" t="n">
        <f aca="false">Subscriptions!S91+Subscriptions!S227+Subscriptions!S92+Subscriptions!S228+Subscriptions!S93+Subscriptions!S229+Enterprise!S62+IF(AND(Account_Register!$O$29&gt;=7,Account_Register!$O$29&lt;=9),Enterprise!S63,0)+IF(AND(Account_Register!$O$30&gt;=7,Account_Register!$O$30&lt;=9),Enterprise!S64,0)+IF(AND(Account_Register!$O$31&gt;=7,Account_Register!$O$31&lt;=9),Enterprise!S65,0)+IF(AND(Account_Register!$O$32&gt;=7,Account_Register!$O$32&lt;=9),Enterprise!S66,0)+IF(AND(Account_Register!$O$33&gt;=7,Account_Register!$O$33&lt;=9),Enterprise!S67,0)+IF(AND(Account_Register!$O$34&gt;=7,Account_Register!$O$34&lt;=9),Enterprise!S68,0)+(Enterprise!K69-Enterprise!J69)+(Enterprise!L69-Enterprise!K69)+(Enterprise!M69-Enterprise!L69)</f>
        <v>79.4970270027988</v>
      </c>
      <c r="P62" s="69" t="n">
        <f aca="false">Subscriptions!V91+Subscriptions!V227+Subscriptions!V92+Subscriptions!V228+Subscriptions!V93+Subscriptions!V229+Enterprise!V62+IF(AND(Account_Register!$O$29&gt;=7,Account_Register!$O$29&lt;=9),Enterprise!V63,0)+IF(AND(Account_Register!$O$30&gt;=7,Account_Register!$O$30&lt;=9),Enterprise!V64,0)+IF(AND(Account_Register!$O$31&gt;=7,Account_Register!$O$31&lt;=9),Enterprise!V65,0)+IF(AND(Account_Register!$O$32&gt;=7,Account_Register!$O$32&lt;=9),Enterprise!V66,0)+IF(AND(Account_Register!$O$33&gt;=7,Account_Register!$O$33&lt;=9),Enterprise!V67,0)+IF(AND(Account_Register!$O$34&gt;=7,Account_Register!$O$34&lt;=9),Enterprise!V68,0)+(Enterprise!K69-Enterprise!J69)+(Enterprise!L69-Enterprise!K69)+(Enterprise!M69-Enterprise!L69)</f>
        <v>73.6346264017763</v>
      </c>
      <c r="Q62" s="69" t="n">
        <f aca="false">Subscriptions!Y91+Subscriptions!Y227+Subscriptions!Y92+Subscriptions!Y228+Subscriptions!Y93+Subscriptions!Y229+Enterprise!Y62+IF(AND(Account_Register!$O$29&gt;=7,Account_Register!$O$29&lt;=9),Enterprise!Y63,0)+IF(AND(Account_Register!$O$30&gt;=7,Account_Register!$O$30&lt;=9),Enterprise!Y64,0)+IF(AND(Account_Register!$O$31&gt;=7,Account_Register!$O$31&lt;=9),Enterprise!Y65,0)+IF(AND(Account_Register!$O$32&gt;=7,Account_Register!$O$32&lt;=9),Enterprise!Y66,0)+IF(AND(Account_Register!$O$33&gt;=7,Account_Register!$O$33&lt;=9),Enterprise!Y67,0)+IF(AND(Account_Register!$O$34&gt;=7,Account_Register!$O$34&lt;=9),Enterprise!Y68,0)+(Enterprise!K69-Enterprise!J69)+(Enterprise!L69-Enterprise!K69)+(Enterprise!M69-Enterprise!L69)</f>
        <v>66.3636191127242</v>
      </c>
      <c r="R62" s="69" t="n">
        <f aca="false">Subscriptions!AB91+Subscriptions!AB227+Subscriptions!AB92+Subscriptions!AB228+Subscriptions!AB93+Subscriptions!AB229+Enterprise!AB62+IF(AND(Account_Register!$O$29&gt;=7,Account_Register!$O$29&lt;=9),Enterprise!AB63,0)+IF(AND(Account_Register!$O$30&gt;=7,Account_Register!$O$30&lt;=9),Enterprise!AB64,0)+IF(AND(Account_Register!$O$31&gt;=7,Account_Register!$O$31&lt;=9),Enterprise!AB65,0)+IF(AND(Account_Register!$O$32&gt;=7,Account_Register!$O$32&lt;=9),Enterprise!AB66,0)+IF(AND(Account_Register!$O$33&gt;=7,Account_Register!$O$33&lt;=9),Enterprise!AB67,0)+IF(AND(Account_Register!$O$34&gt;=7,Account_Register!$O$34&lt;=9),Enterprise!AB68,0)+(Enterprise!K69-Enterprise!J69)+(Enterprise!L69-Enterprise!K69)+(Enterprise!M69-Enterprise!L69)</f>
        <v>63.0096097254089</v>
      </c>
    </row>
    <row r="63" customFormat="false" ht="15" hidden="false" customHeight="false" outlineLevel="0" collapsed="false">
      <c r="A63" s="0" t="s">
        <v>784</v>
      </c>
      <c r="B63" s="57" t="s">
        <v>766</v>
      </c>
      <c r="N63" s="69" t="n">
        <f aca="false">Subscriptions!P94+Subscriptions!P230+Subscriptions!P95+Subscriptions!P231+Subscriptions!P96+Subscriptions!P232+IF(AND(Account_Register!$O$29&gt;=10,Account_Register!$O$29&lt;=12),Enterprise!P63,0)+IF(AND(Account_Register!$O$30&gt;=10,Account_Register!$O$30&lt;=12),Enterprise!P64,0)+IF(AND(Account_Register!$O$31&gt;=10,Account_Register!$O$31&lt;=12),Enterprise!P65,0)+IF(AND(Account_Register!$O$32&gt;=10,Account_Register!$O$32&lt;=12),Enterprise!P66,0)+IF(AND(Account_Register!$O$33&gt;=10,Account_Register!$O$33&lt;=12),Enterprise!P67,0)+IF(AND(Account_Register!$O$34&gt;=10,Account_Register!$O$34&lt;=12),Enterprise!P68,0)+(Enterprise!N69-Enterprise!M69)+(Enterprise!O69-Enterprise!N69)+(Enterprise!P69-Enterprise!O69)</f>
        <v>99.354521338</v>
      </c>
      <c r="O63" s="69" t="n">
        <f aca="false">Subscriptions!S94+Subscriptions!S230+Subscriptions!S95+Subscriptions!S231+Subscriptions!S96+Subscriptions!S232+IF(AND(Account_Register!$O$29&gt;=10,Account_Register!$O$29&lt;=12),Enterprise!S63,0)+IF(AND(Account_Register!$O$30&gt;=10,Account_Register!$O$30&lt;=12),Enterprise!S64,0)+IF(AND(Account_Register!$O$31&gt;=10,Account_Register!$O$31&lt;=12),Enterprise!S65,0)+IF(AND(Account_Register!$O$32&gt;=10,Account_Register!$O$32&lt;=12),Enterprise!S66,0)+IF(AND(Account_Register!$O$33&gt;=10,Account_Register!$O$33&lt;=12),Enterprise!S67,0)+IF(AND(Account_Register!$O$34&gt;=10,Account_Register!$O$34&lt;=12),Enterprise!S68,0)+(Enterprise!N69-Enterprise!M69)+(Enterprise!O69-Enterprise!N69)+(Enterprise!P69-Enterprise!O69)</f>
        <v>89.1331114552441</v>
      </c>
      <c r="P63" s="69" t="n">
        <f aca="false">Subscriptions!V94+Subscriptions!V230+Subscriptions!V95+Subscriptions!V231+Subscriptions!V96+Subscriptions!V232+IF(AND(Account_Register!$O$29&gt;=10,Account_Register!$O$29&lt;=12),Enterprise!V63,0)+IF(AND(Account_Register!$O$30&gt;=10,Account_Register!$O$30&lt;=12),Enterprise!V64,0)+IF(AND(Account_Register!$O$31&gt;=10,Account_Register!$O$31&lt;=12),Enterprise!V65,0)+IF(AND(Account_Register!$O$32&gt;=10,Account_Register!$O$32&lt;=12),Enterprise!V66,0)+IF(AND(Account_Register!$O$33&gt;=10,Account_Register!$O$33&lt;=12),Enterprise!V67,0)+IF(AND(Account_Register!$O$34&gt;=10,Account_Register!$O$34&lt;=12),Enterprise!V68,0)+(Enterprise!N69-Enterprise!M69)+(Enterprise!O69-Enterprise!N69)+(Enterprise!P69-Enterprise!O69)</f>
        <v>82.3115954729394</v>
      </c>
      <c r="Q63" s="69" t="n">
        <f aca="false">Subscriptions!Y94+Subscriptions!Y230+Subscriptions!Y95+Subscriptions!Y231+Subscriptions!Y96+Subscriptions!Y232+IF(AND(Account_Register!$O$29&gt;=10,Account_Register!$O$29&lt;=12),Enterprise!Y63,0)+IF(AND(Account_Register!$O$30&gt;=10,Account_Register!$O$30&lt;=12),Enterprise!Y64,0)+IF(AND(Account_Register!$O$31&gt;=10,Account_Register!$O$31&lt;=12),Enterprise!Y65,0)+IF(AND(Account_Register!$O$32&gt;=10,Account_Register!$O$32&lt;=12),Enterprise!Y66,0)+IF(AND(Account_Register!$O$33&gt;=10,Account_Register!$O$33&lt;=12),Enterprise!Y67,0)+IF(AND(Account_Register!$O$34&gt;=10,Account_Register!$O$34&lt;=12),Enterprise!Y68,0)+(Enterprise!N69-Enterprise!M69)+(Enterprise!O69-Enterprise!N69)+(Enterprise!P69-Enterprise!O69)</f>
        <v>76.1050172661945</v>
      </c>
      <c r="R63" s="69" t="n">
        <f aca="false">Subscriptions!AB94+Subscriptions!AB230+Subscriptions!AB95+Subscriptions!AB231+Subscriptions!AB96+Subscriptions!AB232+IF(AND(Account_Register!$O$29&gt;=10,Account_Register!$O$29&lt;=12),Enterprise!AB63,0)+IF(AND(Account_Register!$O$30&gt;=10,Account_Register!$O$30&lt;=12),Enterprise!AB64,0)+IF(AND(Account_Register!$O$31&gt;=10,Account_Register!$O$31&lt;=12),Enterprise!AB65,0)+IF(AND(Account_Register!$O$32&gt;=10,Account_Register!$O$32&lt;=12),Enterprise!AB66,0)+IF(AND(Account_Register!$O$33&gt;=10,Account_Register!$O$33&lt;=12),Enterprise!AB67,0)+IF(AND(Account_Register!$O$34&gt;=10,Account_Register!$O$34&lt;=12),Enterprise!AB68,0)+(Enterprise!N69-Enterprise!M69)+(Enterprise!O69-Enterprise!N69)+(Enterprise!P69-Enterprise!O69)</f>
        <v>68.8092466264415</v>
      </c>
    </row>
    <row r="64" customFormat="false" ht="15" hidden="false" customHeight="false" outlineLevel="0" collapsed="false">
      <c r="A64" s="0" t="s">
        <v>785</v>
      </c>
      <c r="B64" s="57" t="s">
        <v>767</v>
      </c>
      <c r="O64" s="69" t="n">
        <f aca="false">Subscriptions!S97+Subscriptions!S233+Subscriptions!S98+Subscriptions!S234+Subscriptions!S99+Subscriptions!S235+IF(AND(Account_Register!$O$29&gt;=13,Account_Register!$O$29&lt;=15),Enterprise!S63,0)+IF(AND(Account_Register!$O$30&gt;=13,Account_Register!$O$30&lt;=15),Enterprise!S64,0)+IF(AND(Account_Register!$O$31&gt;=13,Account_Register!$O$31&lt;=15),Enterprise!S65,0)+IF(AND(Account_Register!$O$32&gt;=13,Account_Register!$O$32&lt;=15),Enterprise!S66,0)+IF(AND(Account_Register!$O$33&gt;=13,Account_Register!$O$33&lt;=15),Enterprise!S67,0)+IF(AND(Account_Register!$O$34&gt;=13,Account_Register!$O$34&lt;=15),Enterprise!S68,0)+(Enterprise!Q69-Enterprise!P69)+(Enterprise!R69-Enterprise!Q69)+(Enterprise!S69-Enterprise!R69)</f>
        <v>111.623074981</v>
      </c>
      <c r="P64" s="69" t="n">
        <f aca="false">Subscriptions!V97+Subscriptions!V233+Subscriptions!V98+Subscriptions!V234+Subscriptions!V99+Subscriptions!V235+IF(AND(Account_Register!$O$29&gt;=13,Account_Register!$O$29&lt;=15),Enterprise!V63,0)+IF(AND(Account_Register!$O$30&gt;=13,Account_Register!$O$30&lt;=15),Enterprise!V64,0)+IF(AND(Account_Register!$O$31&gt;=13,Account_Register!$O$31&lt;=15),Enterprise!V65,0)+IF(AND(Account_Register!$O$32&gt;=13,Account_Register!$O$32&lt;=15),Enterprise!V66,0)+IF(AND(Account_Register!$O$33&gt;=13,Account_Register!$O$33&lt;=15),Enterprise!V67,0)+IF(AND(Account_Register!$O$34&gt;=13,Account_Register!$O$34&lt;=15),Enterprise!V68,0)+(Enterprise!Q69-Enterprise!P69)+(Enterprise!R69-Enterprise!Q69)+(Enterprise!S69-Enterprise!R69)</f>
        <v>100.09134832508</v>
      </c>
      <c r="Q64" s="69" t="n">
        <f aca="false">Subscriptions!Y97+Subscriptions!Y233+Subscriptions!Y98+Subscriptions!Y234+Subscriptions!Y99+Subscriptions!Y235+IF(AND(Account_Register!$O$29&gt;=13,Account_Register!$O$29&lt;=15),Enterprise!Y63,0)+IF(AND(Account_Register!$O$30&gt;=13,Account_Register!$O$30&lt;=15),Enterprise!Y64,0)+IF(AND(Account_Register!$O$31&gt;=13,Account_Register!$O$31&lt;=15),Enterprise!Y65,0)+IF(AND(Account_Register!$O$32&gt;=13,Account_Register!$O$32&lt;=15),Enterprise!Y66,0)+IF(AND(Account_Register!$O$33&gt;=13,Account_Register!$O$33&lt;=15),Enterprise!Y67,0)+IF(AND(Account_Register!$O$34&gt;=13,Account_Register!$O$34&lt;=15),Enterprise!Y68,0)+(Enterprise!Q69-Enterprise!P69)+(Enterprise!R69-Enterprise!Q69)+(Enterprise!S69-Enterprise!R69)</f>
        <v>92.4387215809213</v>
      </c>
      <c r="R64" s="69" t="n">
        <f aca="false">Subscriptions!AB97+Subscriptions!AB233+Subscriptions!AB98+Subscriptions!AB234+Subscriptions!AB99+Subscriptions!AB235+IF(AND(Account_Register!$O$29&gt;=13,Account_Register!$O$29&lt;=15),Enterprise!AB63,0)+IF(AND(Account_Register!$O$30&gt;=13,Account_Register!$O$30&lt;=15),Enterprise!AB64,0)+IF(AND(Account_Register!$O$31&gt;=13,Account_Register!$O$31&lt;=15),Enterprise!AB65,0)+IF(AND(Account_Register!$O$32&gt;=13,Account_Register!$O$32&lt;=15),Enterprise!AB66,0)+IF(AND(Account_Register!$O$33&gt;=13,Account_Register!$O$33&lt;=15),Enterprise!AB67,0)+IF(AND(Account_Register!$O$34&gt;=13,Account_Register!$O$34&lt;=15),Enterprise!AB68,0)+(Enterprise!Q69-Enterprise!P69)+(Enterprise!R69-Enterprise!Q69)+(Enterprise!S69-Enterprise!R69)</f>
        <v>85.4759545804693</v>
      </c>
    </row>
    <row r="65" customFormat="false" ht="15" hidden="false" customHeight="false" outlineLevel="0" collapsed="false">
      <c r="A65" s="0" t="s">
        <v>786</v>
      </c>
      <c r="B65" s="57" t="s">
        <v>768</v>
      </c>
      <c r="P65" s="69" t="n">
        <f aca="false">Subscriptions!V100+Subscriptions!V236+Subscriptions!V101+Subscriptions!V237+Subscriptions!V102+Subscriptions!V238+IF(AND(Account_Register!$O$29&gt;=16,Account_Register!$O$29&lt;=18),Enterprise!V63,0)+IF(AND(Account_Register!$O$30&gt;=16,Account_Register!$O$30&lt;=18),Enterprise!V64,0)+IF(AND(Account_Register!$O$31&gt;=16,Account_Register!$O$31&lt;=18),Enterprise!V65,0)+IF(AND(Account_Register!$O$32&gt;=16,Account_Register!$O$32&lt;=18),Enterprise!V66,0)+IF(AND(Account_Register!$O$33&gt;=16,Account_Register!$O$33&lt;=18),Enterprise!V67,0)+IF(AND(Account_Register!$O$34&gt;=16,Account_Register!$O$34&lt;=18),Enterprise!V68,0)+(Enterprise!T69-Enterprise!S69)+(Enterprise!U69-Enterprise!T69)+(Enterprise!V69-Enterprise!U69)</f>
        <v>98.241974668</v>
      </c>
      <c r="Q65" s="69" t="n">
        <f aca="false">Subscriptions!Y100+Subscriptions!Y236+Subscriptions!Y101+Subscriptions!Y237+Subscriptions!Y102+Subscriptions!Y238+IF(AND(Account_Register!$O$29&gt;=16,Account_Register!$O$29&lt;=18),Enterprise!Y63,0)+IF(AND(Account_Register!$O$30&gt;=16,Account_Register!$O$30&lt;=18),Enterprise!Y64,0)+IF(AND(Account_Register!$O$31&gt;=16,Account_Register!$O$31&lt;=18),Enterprise!Y65,0)+IF(AND(Account_Register!$O$32&gt;=16,Account_Register!$O$32&lt;=18),Enterprise!Y66,0)+IF(AND(Account_Register!$O$33&gt;=16,Account_Register!$O$33&lt;=18),Enterprise!Y67,0)+IF(AND(Account_Register!$O$34&gt;=16,Account_Register!$O$34&lt;=18),Enterprise!Y68,0)+(Enterprise!T69-Enterprise!S69)+(Enterprise!U69-Enterprise!T69)+(Enterprise!V69-Enterprise!U69)</f>
        <v>88.0294989818535</v>
      </c>
      <c r="R65" s="69" t="n">
        <f aca="false">Subscriptions!AB100+Subscriptions!AB236+Subscriptions!AB101+Subscriptions!AB237+Subscriptions!AB102+Subscriptions!AB238+IF(AND(Account_Register!$O$29&gt;=16,Account_Register!$O$29&lt;=18),Enterprise!AB63,0)+IF(AND(Account_Register!$O$30&gt;=16,Account_Register!$O$30&lt;=18),Enterprise!AB64,0)+IF(AND(Account_Register!$O$31&gt;=16,Account_Register!$O$31&lt;=18),Enterprise!AB65,0)+IF(AND(Account_Register!$O$32&gt;=16,Account_Register!$O$32&lt;=18),Enterprise!AB66,0)+IF(AND(Account_Register!$O$33&gt;=16,Account_Register!$O$33&lt;=18),Enterprise!AB67,0)+IF(AND(Account_Register!$O$34&gt;=16,Account_Register!$O$34&lt;=18),Enterprise!AB68,0)+(Enterprise!T69-Enterprise!S69)+(Enterprise!U69-Enterprise!T69)+(Enterprise!V69-Enterprise!U69)</f>
        <v>81.2835604891556</v>
      </c>
    </row>
    <row r="66" customFormat="false" ht="15" hidden="false" customHeight="false" outlineLevel="0" collapsed="false">
      <c r="A66" s="0" t="s">
        <v>787</v>
      </c>
      <c r="B66" s="57" t="s">
        <v>769</v>
      </c>
      <c r="Q66" s="69" t="n">
        <f aca="false">Subscriptions!Y103+Subscriptions!Y239+Subscriptions!Y104+Subscriptions!Y240+Subscriptions!Y105+Subscriptions!Y241+IF(AND(Account_Register!$O$29&gt;=19,Account_Register!$O$29&lt;=21),Enterprise!Y63,0)+IF(AND(Account_Register!$O$30&gt;=19,Account_Register!$O$30&lt;=21),Enterprise!Y64,0)+IF(AND(Account_Register!$O$31&gt;=19,Account_Register!$O$31&lt;=21),Enterprise!Y65,0)+IF(AND(Account_Register!$O$32&gt;=19,Account_Register!$O$32&lt;=21),Enterprise!Y66,0)+IF(AND(Account_Register!$O$33&gt;=19,Account_Register!$O$33&lt;=21),Enterprise!Y67,0)+IF(AND(Account_Register!$O$34&gt;=19,Account_Register!$O$34&lt;=21),Enterprise!Y68,0)+(Enterprise!W69-Enterprise!V69)+(Enterprise!X69-Enterprise!W69)+(Enterprise!Y69-Enterprise!X69)</f>
        <v>87.920731017</v>
      </c>
      <c r="R66" s="69" t="n">
        <f aca="false">Subscriptions!AB103+Subscriptions!AB239+Subscriptions!AB104+Subscriptions!AB240+Subscriptions!AB105+Subscriptions!AB241+IF(AND(Account_Register!$O$29&gt;=19,Account_Register!$O$29&lt;=21),Enterprise!AB63,0)+IF(AND(Account_Register!$O$30&gt;=19,Account_Register!$O$30&lt;=21),Enterprise!AB64,0)+IF(AND(Account_Register!$O$31&gt;=19,Account_Register!$O$31&lt;=21),Enterprise!AB65,0)+IF(AND(Account_Register!$O$32&gt;=19,Account_Register!$O$32&lt;=21),Enterprise!AB66,0)+IF(AND(Account_Register!$O$33&gt;=19,Account_Register!$O$33&lt;=21),Enterprise!AB67,0)+IF(AND(Account_Register!$O$34&gt;=19,Account_Register!$O$34&lt;=21),Enterprise!AB68,0)+(Enterprise!W69-Enterprise!V69)+(Enterprise!X69-Enterprise!W69)+(Enterprise!Y69-Enterprise!X69)</f>
        <v>78.7195234937301</v>
      </c>
    </row>
    <row r="67" customFormat="false" ht="15" hidden="false" customHeight="false" outlineLevel="0" collapsed="false">
      <c r="A67" s="0" t="s">
        <v>788</v>
      </c>
      <c r="B67" s="57" t="s">
        <v>770</v>
      </c>
      <c r="R67" s="69" t="n">
        <f aca="false">Subscriptions!AB106+Subscriptions!AB242+Subscriptions!AB107+Subscriptions!AB243+Subscriptions!AB108+Subscriptions!AB244+IF(AND(Account_Register!$O$29&gt;=22,Account_Register!$O$29&lt;=24),Enterprise!AB63,0)+IF(AND(Account_Register!$O$30&gt;=22,Account_Register!$O$30&lt;=24),Enterprise!AB64,0)+IF(AND(Account_Register!$O$31&gt;=22,Account_Register!$O$31&lt;=24),Enterprise!AB65,0)+IF(AND(Account_Register!$O$32&gt;=22,Account_Register!$O$32&lt;=24),Enterprise!AB66,0)+IF(AND(Account_Register!$O$33&gt;=22,Account_Register!$O$33&lt;=24),Enterprise!AB67,0)+IF(AND(Account_Register!$O$34&gt;=22,Account_Register!$O$34&lt;=24),Enterprise!AB68,0)+(Enterprise!Z69-Enterprise!Y69)+(Enterprise!AA69-Enterprise!Z69)+(Enterprise!AB69-Enterprise!AA69)</f>
        <v>99.754521338</v>
      </c>
    </row>
    <row r="68" customFormat="false" ht="15" hidden="false" customHeight="false" outlineLevel="0" collapsed="false">
      <c r="A68" s="0" t="s">
        <v>789</v>
      </c>
      <c r="C68" s="80" t="n">
        <f aca="false">History!C132-SUM(C52:C67)</f>
        <v>530</v>
      </c>
      <c r="D68" s="80" t="n">
        <f aca="false">History!D132-SUM(D52:D67)</f>
        <v>502</v>
      </c>
      <c r="E68" s="80" t="n">
        <f aca="false">History!E132-SUM(E52:E67)</f>
        <v>480</v>
      </c>
      <c r="F68" s="80" t="n">
        <f aca="false">History!F132-SUM(F52:F67)</f>
        <v>456</v>
      </c>
      <c r="G68" s="80" t="n">
        <f aca="false">History!G132-SUM(G52:G67)</f>
        <v>439</v>
      </c>
      <c r="H68" s="80" t="n">
        <f aca="false">History!H132-SUM(H52:H67)</f>
        <v>419</v>
      </c>
      <c r="I68" s="80" t="n">
        <f aca="false">History!I132-SUM(I52:I67)</f>
        <v>398</v>
      </c>
      <c r="J68" s="80" t="n">
        <f aca="false">History!J132-SUM(J52:J67)</f>
        <v>378</v>
      </c>
      <c r="K68" s="69" t="n">
        <f aca="false">Subscriptions!G60+Subscriptions!G185+Subscriptions!G186+Subscriptions!G187+Subscriptions!G188+Subscriptions!G189+Subscriptions!G190+Subscriptions!G191+Subscriptions!G192+Subscriptions!G193+Subscriptions!G194+Subscriptions!G195+Subscriptions!G196+Enterprise!G41+Enterprise!G42+Enterprise!G43+Enterprise!G44+Enterprise!G45+Enterprise!G46+Enterprise!G47+Enterprise!G48</f>
        <v>353</v>
      </c>
      <c r="L68" s="69" t="n">
        <f aca="false">Subscriptions!J60+Subscriptions!J185+Subscriptions!J186+Subscriptions!J187+Subscriptions!J188+Subscriptions!J189+Subscriptions!J190+Subscriptions!J191+Subscriptions!J192+Subscriptions!J193+Subscriptions!J194+Subscriptions!J195+Subscriptions!J196+Enterprise!J41+Enterprise!J42+Enterprise!J43+Enterprise!J44+Enterprise!J45+Enterprise!J46+Enterprise!J47+Enterprise!J48</f>
        <v>331</v>
      </c>
      <c r="M68" s="69" t="n">
        <f aca="false">Subscriptions!M60+Subscriptions!M185+Subscriptions!M186+Subscriptions!M187+Subscriptions!M188+Subscriptions!M189+Subscriptions!M190+Subscriptions!M191+Subscriptions!M192+Subscriptions!M193+Subscriptions!M194+Subscriptions!M195+Subscriptions!M196+Enterprise!M41+Enterprise!M42+Enterprise!M43+Enterprise!M44+Enterprise!M45+Enterprise!M46+Enterprise!M47+Enterprise!M48</f>
        <v>317.17</v>
      </c>
      <c r="N68" s="69" t="n">
        <f aca="false">Subscriptions!P60+Subscriptions!P185+Subscriptions!P186+Subscriptions!P187+Subscriptions!P188+Subscriptions!P189+Subscriptions!P190+Subscriptions!P191+Subscriptions!P192+Subscriptions!P193+Subscriptions!P194+Subscriptions!P195+Subscriptions!P196+Enterprise!P41+Enterprise!P42+Enterprise!P43+Enterprise!P44+Enterprise!P45+Enterprise!P46+Enterprise!P47+Enterprise!P48</f>
        <v>300.55228762025</v>
      </c>
      <c r="O68" s="69" t="n">
        <f aca="false">Subscriptions!S60+Subscriptions!S185+Subscriptions!S186+Subscriptions!S187+Subscriptions!S188+Subscriptions!S189+Subscriptions!S190+Subscriptions!S191+Subscriptions!S192+Subscriptions!S193+Subscriptions!S194+Subscriptions!S195+Subscriptions!S196+Enterprise!S41+Enterprise!S42+Enterprise!S43+Enterprise!S44+Enterprise!S45+Enterprise!S46+Enterprise!S47+Enterprise!S48</f>
        <v>283.78589666686</v>
      </c>
      <c r="P68" s="69" t="n">
        <f aca="false">Subscriptions!V60+Subscriptions!V185+Subscriptions!V186+Subscriptions!V187+Subscriptions!V188+Subscriptions!V189+Subscriptions!V190+Subscriptions!V191+Subscriptions!V192+Subscriptions!V193+Subscriptions!V194+Subscriptions!V195+Subscriptions!V196+Enterprise!V41+Enterprise!V42+Enterprise!V43+Enterprise!V44+Enterprise!V45+Enterprise!V46+Enterprise!V47+Enterprise!V48</f>
        <v>268.683377403249</v>
      </c>
      <c r="Q68" s="69" t="n">
        <f aca="false">Subscriptions!Y60+Subscriptions!Y185+Subscriptions!Y186+Subscriptions!Y187+Subscriptions!Y188+Subscriptions!Y189+Subscriptions!Y190+Subscriptions!Y191+Subscriptions!Y192+Subscriptions!Y193+Subscriptions!Y194+Subscriptions!Y195+Subscriptions!Y196+Enterprise!Y41+Enterprise!Y42+Enterprise!Y43+Enterprise!Y44+Enterprise!Y45+Enterprise!Y46+Enterprise!Y47+Enterprise!Y48</f>
        <v>254.987223952281</v>
      </c>
      <c r="R68" s="69" t="n">
        <f aca="false">Subscriptions!AB60+Subscriptions!AB185+Subscriptions!AB186+Subscriptions!AB187+Subscriptions!AB188+Subscriptions!AB189+Subscriptions!AB190+Subscriptions!AB191+Subscriptions!AB192+Subscriptions!AB193+Subscriptions!AB194+Subscriptions!AB195+Subscriptions!AB196+Enterprise!AB41+Enterprise!AB42+Enterprise!AB43+Enterprise!AB44+Enterprise!AB45+Enterprise!AB46+Enterprise!AB47+Enterprise!AB48</f>
        <v>241.911455688825</v>
      </c>
    </row>
    <row r="69" customFormat="false" ht="15" hidden="false" customHeight="false" outlineLevel="0" collapsed="false">
      <c r="A69" s="83" t="s">
        <v>744</v>
      </c>
      <c r="C69" s="119" t="n">
        <f aca="false">SUM(C52:C68)</f>
        <v>612</v>
      </c>
      <c r="D69" s="119" t="n">
        <f aca="false">SUM(D52:D68)</f>
        <v>643</v>
      </c>
      <c r="E69" s="119" t="n">
        <f aca="false">SUM(E52:E68)</f>
        <v>692</v>
      </c>
      <c r="F69" s="119" t="n">
        <f aca="false">SUM(F52:F68)</f>
        <v>728</v>
      </c>
      <c r="G69" s="119" t="n">
        <f aca="false">SUM(G52:G68)</f>
        <v>806</v>
      </c>
      <c r="H69" s="119" t="n">
        <f aca="false">SUM(H52:H68)</f>
        <v>847</v>
      </c>
      <c r="I69" s="119" t="n">
        <f aca="false">SUM(I52:I68)</f>
        <v>860</v>
      </c>
      <c r="J69" s="119" t="n">
        <f aca="false">SUM(J52:J68)</f>
        <v>894</v>
      </c>
      <c r="K69" s="119" t="n">
        <f aca="false">SUM(K52:K68)</f>
        <v>941</v>
      </c>
      <c r="L69" s="119" t="n">
        <f aca="false">SUM(L52:L68)</f>
        <v>954</v>
      </c>
      <c r="M69" s="119" t="n">
        <f aca="false">SUM(M52:M68)</f>
        <v>992.40731</v>
      </c>
      <c r="N69" s="119" t="n">
        <f aca="false">SUM(N52:N68)</f>
        <v>1028.4339742658</v>
      </c>
      <c r="O69" s="119" t="n">
        <f aca="false">SUM(O52:O68)</f>
        <v>1071.55216230711</v>
      </c>
      <c r="P69" s="119" t="n">
        <f aca="false">SUM(P52:P68)</f>
        <v>1100.12763523406</v>
      </c>
      <c r="Q69" s="119" t="n">
        <f aca="false">SUM(Q52:Q68)</f>
        <v>1117.29998916642</v>
      </c>
      <c r="R69" s="119" t="n">
        <f aca="false">SUM(R52:R68)</f>
        <v>1146.47839414742</v>
      </c>
    </row>
    <row r="70" customFormat="false" ht="15" hidden="false" customHeight="false" outlineLevel="0" collapsed="false">
      <c r="A70" s="0" t="s">
        <v>790</v>
      </c>
      <c r="C70" s="69" t="n">
        <f aca="false">History!C132</f>
        <v>612</v>
      </c>
      <c r="D70" s="69" t="n">
        <f aca="false">History!D132</f>
        <v>643</v>
      </c>
      <c r="E70" s="69" t="n">
        <f aca="false">History!E132</f>
        <v>692</v>
      </c>
      <c r="F70" s="69" t="n">
        <f aca="false">History!F132</f>
        <v>728</v>
      </c>
      <c r="G70" s="69" t="n">
        <f aca="false">History!G132</f>
        <v>806</v>
      </c>
      <c r="H70" s="69" t="n">
        <f aca="false">History!H132</f>
        <v>847</v>
      </c>
      <c r="I70" s="69" t="n">
        <f aca="false">History!I132</f>
        <v>860</v>
      </c>
      <c r="J70" s="69" t="n">
        <f aca="false">History!J132</f>
        <v>894</v>
      </c>
      <c r="K70" s="69" t="n">
        <f aca="false">ARR_Bridge!G63</f>
        <v>941</v>
      </c>
      <c r="L70" s="69" t="n">
        <f aca="false">ARR_Bridge!J63</f>
        <v>954</v>
      </c>
      <c r="M70" s="69" t="n">
        <f aca="false">ARR_Bridge!M63</f>
        <v>992.40731</v>
      </c>
      <c r="N70" s="69" t="n">
        <f aca="false">ARR_Bridge!P63</f>
        <v>1028.4339742658</v>
      </c>
      <c r="O70" s="69" t="n">
        <f aca="false">ARR_Bridge!S63</f>
        <v>1071.55216230711</v>
      </c>
      <c r="P70" s="69" t="n">
        <f aca="false">ARR_Bridge!V63</f>
        <v>1100.12763523406</v>
      </c>
      <c r="Q70" s="69" t="n">
        <f aca="false">ARR_Bridge!Y63</f>
        <v>1117.29998916642</v>
      </c>
      <c r="R70" s="69" t="n">
        <f aca="false">ARR_Bridge!AB63</f>
        <v>1146.47839414742</v>
      </c>
    </row>
    <row r="71" customFormat="false" ht="15" hidden="false" customHeight="false" outlineLevel="0" collapsed="false">
      <c r="A71" s="5" t="s">
        <v>791</v>
      </c>
      <c r="C71" s="120" t="n">
        <f aca="false">ROUND(C69-C70,4)</f>
        <v>0</v>
      </c>
      <c r="D71" s="120" t="n">
        <f aca="false">ROUND(D69-D70,4)</f>
        <v>0</v>
      </c>
      <c r="E71" s="120" t="n">
        <f aca="false">ROUND(E69-E70,4)</f>
        <v>0</v>
      </c>
      <c r="F71" s="120" t="n">
        <f aca="false">ROUND(F69-F70,4)</f>
        <v>0</v>
      </c>
      <c r="G71" s="120" t="n">
        <f aca="false">ROUND(G69-G70,4)</f>
        <v>0</v>
      </c>
      <c r="H71" s="120" t="n">
        <f aca="false">ROUND(H69-H70,4)</f>
        <v>0</v>
      </c>
      <c r="I71" s="120" t="n">
        <f aca="false">ROUND(I69-I70,4)</f>
        <v>0</v>
      </c>
      <c r="J71" s="120" t="n">
        <f aca="false">ROUND(J69-J70,4)</f>
        <v>0</v>
      </c>
      <c r="K71" s="120" t="n">
        <f aca="false">ROUND(K69-K70,4)</f>
        <v>0</v>
      </c>
      <c r="L71" s="120" t="n">
        <f aca="false">ROUND(L69-L70,4)</f>
        <v>0</v>
      </c>
      <c r="M71" s="120" t="n">
        <f aca="false">ROUND(M69-M70,4)</f>
        <v>0</v>
      </c>
      <c r="N71" s="120" t="n">
        <f aca="false">ROUND(N69-N70,4)</f>
        <v>0</v>
      </c>
      <c r="O71" s="120" t="n">
        <f aca="false">ROUND(O69-O70,4)</f>
        <v>0</v>
      </c>
      <c r="P71" s="120" t="n">
        <f aca="false">ROUND(P69-P70,4)</f>
        <v>0</v>
      </c>
      <c r="Q71" s="120" t="n">
        <f aca="false">ROUND(Q69-Q70,4)</f>
        <v>0</v>
      </c>
      <c r="R71" s="120" t="n">
        <f aca="false">ROUND(R69-R70,4)</f>
        <v>0</v>
      </c>
    </row>
    <row r="73" customFormat="false" ht="15" hidden="false" customHeight="false" outlineLevel="0" collapsed="false">
      <c r="A73" s="22" t="s">
        <v>796</v>
      </c>
      <c r="B73" s="23"/>
      <c r="C73" s="23"/>
      <c r="D73" s="23"/>
      <c r="E73" s="23"/>
      <c r="F73" s="23"/>
      <c r="G73" s="23"/>
      <c r="H73" s="23"/>
      <c r="I73" s="23"/>
      <c r="J73" s="23"/>
      <c r="K73" s="23"/>
      <c r="L73" s="23"/>
      <c r="M73" s="23"/>
      <c r="N73" s="23"/>
      <c r="O73" s="23"/>
      <c r="P73" s="23"/>
      <c r="Q73" s="23"/>
      <c r="R73" s="23"/>
      <c r="S73" s="23"/>
      <c r="T73" s="23"/>
    </row>
    <row r="74" customFormat="false" ht="30" hidden="false" customHeight="true" outlineLevel="0" collapsed="false">
      <c r="A74" s="26" t="s">
        <v>753</v>
      </c>
      <c r="B74" s="27" t="s">
        <v>754</v>
      </c>
      <c r="C74" s="27" t="s">
        <v>755</v>
      </c>
      <c r="D74" s="27" t="s">
        <v>756</v>
      </c>
      <c r="E74" s="27" t="s">
        <v>757</v>
      </c>
      <c r="F74" s="27" t="s">
        <v>758</v>
      </c>
      <c r="G74" s="27" t="s">
        <v>759</v>
      </c>
      <c r="H74" s="27" t="s">
        <v>760</v>
      </c>
      <c r="I74" s="27" t="s">
        <v>761</v>
      </c>
      <c r="J74" s="27" t="s">
        <v>762</v>
      </c>
      <c r="K74" s="27" t="s">
        <v>763</v>
      </c>
      <c r="L74" s="27" t="s">
        <v>764</v>
      </c>
      <c r="M74" s="27" t="s">
        <v>765</v>
      </c>
      <c r="N74" s="27" t="s">
        <v>766</v>
      </c>
      <c r="O74" s="27" t="s">
        <v>767</v>
      </c>
      <c r="P74" s="27" t="s">
        <v>768</v>
      </c>
      <c r="Q74" s="27" t="s">
        <v>769</v>
      </c>
      <c r="R74" s="27" t="s">
        <v>770</v>
      </c>
      <c r="S74" s="27" t="s">
        <v>771</v>
      </c>
      <c r="T74" s="27" t="s">
        <v>772</v>
      </c>
    </row>
    <row r="75" customFormat="false" ht="15" hidden="false" customHeight="false" outlineLevel="0" collapsed="false">
      <c r="A75" s="0" t="s">
        <v>773</v>
      </c>
      <c r="B75" s="57" t="s">
        <v>755</v>
      </c>
      <c r="C75" s="118" t="n">
        <f aca="false">IF(C52=0,0,C52/C52)</f>
        <v>1</v>
      </c>
      <c r="D75" s="118" t="n">
        <f aca="false">IF(C52=0,0,D52/C52)</f>
        <v>0.890243902439024</v>
      </c>
      <c r="E75" s="118" t="n">
        <f aca="false">IF(C52=0,0,E52/C52)</f>
        <v>0.817073170731707</v>
      </c>
      <c r="F75" s="118" t="n">
        <f aca="false">IF(C52=0,0,F52/C52)</f>
        <v>0.74390243902439</v>
      </c>
      <c r="G75" s="118" t="n">
        <f aca="false">IF(C52=0,0,G52/C52)</f>
        <v>0.707317073170732</v>
      </c>
      <c r="H75" s="118" t="n">
        <f aca="false">IF(C52=0,0,H52/C52)</f>
        <v>0.695121951219512</v>
      </c>
      <c r="I75" s="118" t="n">
        <f aca="false">IF(C52=0,0,I52/C52)</f>
        <v>0.646341463414634</v>
      </c>
      <c r="J75" s="118" t="n">
        <f aca="false">IF(C52=0,0,J52/C52)</f>
        <v>0.597560975609756</v>
      </c>
      <c r="K75" s="118" t="n">
        <f aca="false">IF(C52=0,0,K52/C52)</f>
        <v>0.573170731707317</v>
      </c>
      <c r="L75" s="118" t="n">
        <f aca="false">IF(C52=0,0,L52/C52)</f>
        <v>0.560975609756098</v>
      </c>
      <c r="M75" s="118" t="n">
        <f aca="false">IF(C52=0,0,M52/C52)</f>
        <v>0.538024390243902</v>
      </c>
      <c r="N75" s="118" t="n">
        <f aca="false">IF(C52=0,0,N52/C52)</f>
        <v>0.50709249170978</v>
      </c>
      <c r="O75" s="118" t="n">
        <f aca="false">IF(C52=0,0,O52/C52)</f>
        <v>0.475385739512592</v>
      </c>
      <c r="P75" s="118" t="n">
        <f aca="false">IF(C52=0,0,P52/C52)</f>
        <v>0.448152285411535</v>
      </c>
      <c r="Q75" s="118" t="n">
        <f aca="false">IF(C52=0,0,Q52/C52)</f>
        <v>0.422598761268088</v>
      </c>
      <c r="R75" s="118" t="n">
        <f aca="false">IF(C52=0,0,R52/C52)</f>
        <v>0.398621538484423</v>
      </c>
      <c r="S75" s="37" t="n">
        <f aca="false">G75</f>
        <v>0.707317073170732</v>
      </c>
      <c r="T75" s="37" t="n">
        <f aca="false">K75</f>
        <v>0.573170731707317</v>
      </c>
    </row>
    <row r="76" customFormat="false" ht="15" hidden="false" customHeight="false" outlineLevel="0" collapsed="false">
      <c r="A76" s="0" t="s">
        <v>774</v>
      </c>
      <c r="B76" s="57" t="s">
        <v>756</v>
      </c>
      <c r="D76" s="118" t="n">
        <f aca="false">IF(D53=0,0,D53/D53)</f>
        <v>1</v>
      </c>
      <c r="E76" s="118" t="n">
        <f aca="false">IF(D53=0,0,E53/D53)</f>
        <v>0.926470588235294</v>
      </c>
      <c r="F76" s="118" t="n">
        <f aca="false">IF(D53=0,0,F53/D53)</f>
        <v>0.838235294117647</v>
      </c>
      <c r="G76" s="118" t="n">
        <f aca="false">IF(D53=0,0,G53/D53)</f>
        <v>0.779411764705882</v>
      </c>
      <c r="H76" s="118" t="n">
        <f aca="false">IF(D53=0,0,H53/D53)</f>
        <v>0.735294117647059</v>
      </c>
      <c r="I76" s="118" t="n">
        <f aca="false">IF(D53=0,0,I53/D53)</f>
        <v>0.705882352941177</v>
      </c>
      <c r="J76" s="118" t="n">
        <f aca="false">IF(D53=0,0,J53/D53)</f>
        <v>0.676470588235294</v>
      </c>
      <c r="K76" s="118" t="n">
        <f aca="false">IF(D53=0,0,K53/D53)</f>
        <v>0.647058823529412</v>
      </c>
      <c r="L76" s="118" t="n">
        <f aca="false">IF(D53=0,0,L53/D53)</f>
        <v>0.588235294117647</v>
      </c>
      <c r="M76" s="118" t="n">
        <f aca="false">IF(D53=0,0,M53/D53)</f>
        <v>0.564882352941177</v>
      </c>
      <c r="N76" s="118" t="n">
        <f aca="false">IF(D53=0,0,N53/D53)</f>
        <v>0.540015532551</v>
      </c>
      <c r="O76" s="118" t="n">
        <f aca="false">IF(D53=0,0,O53/D53)</f>
        <v>0.516682653333652</v>
      </c>
      <c r="P76" s="118" t="n">
        <f aca="false">IF(D53=0,0,P53/D53)</f>
        <v>0.479494974546528</v>
      </c>
      <c r="Q76" s="118" t="n">
        <f aca="false">IF(D53=0,0,Q53/D53)</f>
        <v>0.458951945333168</v>
      </c>
      <c r="R76" s="118" t="n">
        <f aca="false">IF(D53=0,0,R53/D53)</f>
        <v>0.439676138781595</v>
      </c>
      <c r="S76" s="37" t="n">
        <f aca="false">H76</f>
        <v>0.735294117647059</v>
      </c>
      <c r="T76" s="37" t="n">
        <f aca="false">L76</f>
        <v>0.588235294117647</v>
      </c>
    </row>
    <row r="77" customFormat="false" ht="15" hidden="false" customHeight="false" outlineLevel="0" collapsed="false">
      <c r="A77" s="0" t="s">
        <v>775</v>
      </c>
      <c r="B77" s="57" t="s">
        <v>757</v>
      </c>
      <c r="E77" s="118" t="n">
        <f aca="false">IF(E54=0,0,E54/E54)</f>
        <v>1</v>
      </c>
      <c r="F77" s="118" t="n">
        <f aca="false">IF(E54=0,0,F54/E54)</f>
        <v>0.963414634146341</v>
      </c>
      <c r="G77" s="118" t="n">
        <f aca="false">IF(E54=0,0,G54/E54)</f>
        <v>0.914634146341463</v>
      </c>
      <c r="H77" s="118" t="n">
        <f aca="false">IF(E54=0,0,H54/E54)</f>
        <v>0.841463414634146</v>
      </c>
      <c r="I77" s="118" t="n">
        <f aca="false">IF(E54=0,0,I54/E54)</f>
        <v>0.731707317073171</v>
      </c>
      <c r="J77" s="118" t="n">
        <f aca="false">IF(E54=0,0,J54/E54)</f>
        <v>0.707317073170732</v>
      </c>
      <c r="K77" s="118" t="n">
        <f aca="false">IF(E54=0,0,K54/E54)</f>
        <v>0.670731707317073</v>
      </c>
      <c r="L77" s="118" t="n">
        <f aca="false">IF(E54=0,0,L54/E54)</f>
        <v>0.634146341463415</v>
      </c>
      <c r="M77" s="118" t="n">
        <f aca="false">IF(E54=0,0,M54/E54)</f>
        <v>0.592231707317073</v>
      </c>
      <c r="N77" s="118" t="n">
        <f aca="false">IF(E54=0,0,N54/E54)</f>
        <v>0.564982177656061</v>
      </c>
      <c r="O77" s="118" t="n">
        <f aca="false">IF(E54=0,0,O54/E54)</f>
        <v>0.539413569593845</v>
      </c>
      <c r="P77" s="118" t="n">
        <f aca="false">IF(E54=0,0,P54/E54)</f>
        <v>0.515422193361962</v>
      </c>
      <c r="Q77" s="118" t="n">
        <f aca="false">IF(E54=0,0,Q54/E54)</f>
        <v>0.478320511523629</v>
      </c>
      <c r="R77" s="118" t="n">
        <f aca="false">IF(E54=0,0,R54/E54)</f>
        <v>0.457197720023734</v>
      </c>
      <c r="S77" s="37" t="n">
        <f aca="false">I77</f>
        <v>0.731707317073171</v>
      </c>
      <c r="T77" s="37" t="n">
        <f aca="false">M77</f>
        <v>0.592231707317073</v>
      </c>
    </row>
    <row r="78" customFormat="false" ht="15" hidden="false" customHeight="false" outlineLevel="0" collapsed="false">
      <c r="A78" s="0" t="s">
        <v>776</v>
      </c>
      <c r="B78" s="57" t="s">
        <v>758</v>
      </c>
      <c r="F78" s="118" t="n">
        <f aca="false">IF(F55=0,0,F55/F55)</f>
        <v>1</v>
      </c>
      <c r="G78" s="118" t="n">
        <f aca="false">IF(F55=0,0,G55/F55)</f>
        <v>0.866666666666667</v>
      </c>
      <c r="H78" s="118" t="n">
        <f aca="false">IF(F55=0,0,H55/F55)</f>
        <v>0.813333333333333</v>
      </c>
      <c r="I78" s="118" t="n">
        <f aca="false">IF(F55=0,0,I55/F55)</f>
        <v>0.773333333333333</v>
      </c>
      <c r="J78" s="118" t="n">
        <f aca="false">IF(F55=0,0,J55/F55)</f>
        <v>0.706666666666667</v>
      </c>
      <c r="K78" s="118" t="n">
        <f aca="false">IF(F55=0,0,K55/F55)</f>
        <v>0.64</v>
      </c>
      <c r="L78" s="118" t="n">
        <f aca="false">IF(F55=0,0,L55/F55)</f>
        <v>0.6</v>
      </c>
      <c r="M78" s="118" t="n">
        <f aca="false">IF(F55=0,0,M55/F55)</f>
        <v>0.577146666666667</v>
      </c>
      <c r="N78" s="118" t="n">
        <f aca="false">IF(F55=0,0,N55/F55)</f>
        <v>0.536436148218053</v>
      </c>
      <c r="O78" s="118" t="n">
        <f aca="false">IF(F55=0,0,O55/F55)</f>
        <v>0.51074775928924</v>
      </c>
      <c r="P78" s="118" t="n">
        <f aca="false">IF(F55=0,0,P55/F55)</f>
        <v>0.486643991024559</v>
      </c>
      <c r="Q78" s="118" t="n">
        <f aca="false">IF(F55=0,0,Q55/F55)</f>
        <v>0.464027094100136</v>
      </c>
      <c r="R78" s="118" t="n">
        <f aca="false">IF(F55=0,0,R55/F55)</f>
        <v>0.430805348982403</v>
      </c>
      <c r="S78" s="37" t="n">
        <f aca="false">J78</f>
        <v>0.706666666666667</v>
      </c>
      <c r="T78" s="37" t="n">
        <f aca="false">N78</f>
        <v>0.536436148218053</v>
      </c>
    </row>
    <row r="79" customFormat="false" ht="15" hidden="false" customHeight="false" outlineLevel="0" collapsed="false">
      <c r="A79" s="0" t="s">
        <v>777</v>
      </c>
      <c r="B79" s="57" t="s">
        <v>759</v>
      </c>
      <c r="G79" s="118" t="n">
        <f aca="false">IF(G56=0,0,G56/G56)</f>
        <v>1</v>
      </c>
      <c r="H79" s="118" t="n">
        <f aca="false">IF(G56=0,0,H56/G56)</f>
        <v>0.939655172413793</v>
      </c>
      <c r="I79" s="118" t="n">
        <f aca="false">IF(G56=0,0,I56/G56)</f>
        <v>0.896551724137931</v>
      </c>
      <c r="J79" s="118" t="n">
        <f aca="false">IF(G56=0,0,J56/G56)</f>
        <v>0.853448275862069</v>
      </c>
      <c r="K79" s="118" t="n">
        <f aca="false">IF(G56=0,0,K56/G56)</f>
        <v>0.775862068965517</v>
      </c>
      <c r="L79" s="118" t="n">
        <f aca="false">IF(G56=0,0,L56/G56)</f>
        <v>0.724137931034483</v>
      </c>
      <c r="M79" s="118" t="n">
        <f aca="false">IF(G56=0,0,M56/G56)</f>
        <v>0.693862068965517</v>
      </c>
      <c r="N79" s="118" t="n">
        <f aca="false">IF(G56=0,0,N56/G56)</f>
        <v>0.656378093402</v>
      </c>
      <c r="O79" s="118" t="n">
        <f aca="false">IF(G56=0,0,O56/G56)</f>
        <v>0.613275329655653</v>
      </c>
      <c r="P79" s="118" t="n">
        <f aca="false">IF(G56=0,0,P56/G56)</f>
        <v>0.58027321286324</v>
      </c>
      <c r="Q79" s="118" t="n">
        <f aca="false">IF(G56=0,0,Q56/G56)</f>
        <v>0.549306873260835</v>
      </c>
      <c r="R79" s="118" t="n">
        <f aca="false">IF(G56=0,0,R56/G56)</f>
        <v>0.52025073136536</v>
      </c>
      <c r="S79" s="37" t="n">
        <f aca="false">K79</f>
        <v>0.775862068965517</v>
      </c>
      <c r="T79" s="37" t="n">
        <f aca="false">O79</f>
        <v>0.613275329655653</v>
      </c>
    </row>
    <row r="80" customFormat="false" ht="15" hidden="false" customHeight="false" outlineLevel="0" collapsed="false">
      <c r="A80" s="0" t="s">
        <v>778</v>
      </c>
      <c r="B80" s="57" t="s">
        <v>760</v>
      </c>
      <c r="H80" s="118" t="n">
        <f aca="false">IF(H57=0,0,H57/H57)</f>
        <v>1</v>
      </c>
      <c r="I80" s="118" t="n">
        <f aca="false">IF(H57=0,0,I57/H57)</f>
        <v>0.890243902439024</v>
      </c>
      <c r="J80" s="118" t="n">
        <f aca="false">IF(H57=0,0,J57/H57)</f>
        <v>0.804878048780488</v>
      </c>
      <c r="K80" s="118" t="n">
        <f aca="false">IF(H57=0,0,K57/H57)</f>
        <v>0.695121951219512</v>
      </c>
      <c r="L80" s="118" t="n">
        <f aca="false">IF(H57=0,0,L57/H57)</f>
        <v>0.609756097560976</v>
      </c>
      <c r="M80" s="118" t="n">
        <f aca="false">IF(H57=0,0,M57/H57)</f>
        <v>0.574609756097561</v>
      </c>
      <c r="N80" s="118" t="n">
        <f aca="false">IF(H57=0,0,N57/H57)</f>
        <v>0.543677857563439</v>
      </c>
      <c r="O80" s="118" t="n">
        <f aca="false">IF(H57=0,0,O57/H57)</f>
        <v>0.514654032195518</v>
      </c>
      <c r="P80" s="118" t="n">
        <f aca="false">IF(H57=0,0,P57/H57)</f>
        <v>0.480591309801779</v>
      </c>
      <c r="Q80" s="118" t="n">
        <f aca="false">IF(H57=0,0,Q57/H57)</f>
        <v>0.455037785658332</v>
      </c>
      <c r="R80" s="118" t="n">
        <f aca="false">IF(H57=0,0,R57/H57)</f>
        <v>0.431060562874667</v>
      </c>
      <c r="S80" s="37" t="n">
        <f aca="false">L80</f>
        <v>0.609756097560976</v>
      </c>
      <c r="T80" s="37" t="n">
        <f aca="false">P80</f>
        <v>0.480591309801779</v>
      </c>
    </row>
    <row r="81" customFormat="false" ht="15" hidden="false" customHeight="false" outlineLevel="0" collapsed="false">
      <c r="A81" s="0" t="s">
        <v>779</v>
      </c>
      <c r="B81" s="57" t="s">
        <v>761</v>
      </c>
      <c r="I81" s="118" t="n">
        <f aca="false">IF(I58=0,0,I58/I58)</f>
        <v>1</v>
      </c>
      <c r="J81" s="118" t="n">
        <f aca="false">IF(I58=0,0,J58/I58)</f>
        <v>0.878787878787879</v>
      </c>
      <c r="K81" s="118" t="n">
        <f aca="false">IF(I58=0,0,K58/I58)</f>
        <v>0.787878787878788</v>
      </c>
      <c r="L81" s="118" t="n">
        <f aca="false">IF(I58=0,0,L58/I58)</f>
        <v>0.712121212121212</v>
      </c>
      <c r="M81" s="118" t="n">
        <f aca="false">IF(I58=0,0,M58/I58)</f>
        <v>0.624333333333333</v>
      </c>
      <c r="N81" s="118" t="n">
        <f aca="false">IF(I58=0,0,N58/I58)</f>
        <v>0.593250934911879</v>
      </c>
      <c r="O81" s="118" t="n">
        <f aca="false">IF(I58=0,0,O58/I58)</f>
        <v>0.564085893431956</v>
      </c>
      <c r="P81" s="118" t="n">
        <f aca="false">IF(I58=0,0,P58/I58)</f>
        <v>0.53671993431284</v>
      </c>
      <c r="Q81" s="118" t="n">
        <f aca="false">IF(I58=0,0,Q58/I58)</f>
        <v>0.500322381920763</v>
      </c>
      <c r="R81" s="118" t="n">
        <f aca="false">IF(I58=0,0,R58/I58)</f>
        <v>0.476228497389889</v>
      </c>
      <c r="S81" s="37" t="n">
        <f aca="false">M81</f>
        <v>0.624333333333333</v>
      </c>
      <c r="T81" s="37" t="n">
        <f aca="false">Q81</f>
        <v>0.500322381920763</v>
      </c>
    </row>
    <row r="82" customFormat="false" ht="15" hidden="false" customHeight="false" outlineLevel="0" collapsed="false">
      <c r="A82" s="0" t="s">
        <v>780</v>
      </c>
      <c r="B82" s="57" t="s">
        <v>762</v>
      </c>
      <c r="J82" s="118" t="n">
        <f aca="false">IF(J59=0,0,J59/J59)</f>
        <v>1</v>
      </c>
      <c r="K82" s="118" t="n">
        <f aca="false">IF(J59=0,0,K59/J59)</f>
        <v>0.896551724137931</v>
      </c>
      <c r="L82" s="118" t="n">
        <f aca="false">IF(J59=0,0,L59/J59)</f>
        <v>0.793103448275862</v>
      </c>
      <c r="M82" s="118" t="n">
        <f aca="false">IF(J59=0,0,M59/J59)</f>
        <v>0.727172413793103</v>
      </c>
      <c r="N82" s="118" t="n">
        <f aca="false">IF(J59=0,0,N59/J59)</f>
        <v>0.660117841066391</v>
      </c>
      <c r="O82" s="118" t="n">
        <f aca="false">IF(J59=0,0,O59/J59)</f>
        <v>0.62472251112713</v>
      </c>
      <c r="P82" s="118" t="n">
        <f aca="false">IF(J59=0,0,P59/J59)</f>
        <v>0.591510586748684</v>
      </c>
      <c r="Q82" s="118" t="n">
        <f aca="false">IF(J59=0,0,Q59/J59)</f>
        <v>0.560347381805759</v>
      </c>
      <c r="R82" s="118" t="n">
        <f aca="false">IF(J59=0,0,R59/J59)</f>
        <v>0.523020311559987</v>
      </c>
      <c r="S82" s="37" t="n">
        <f aca="false">N82</f>
        <v>0.660117841066391</v>
      </c>
      <c r="T82" s="37" t="n">
        <f aca="false">R82</f>
        <v>0.523020311559987</v>
      </c>
    </row>
    <row r="83" customFormat="false" ht="15" hidden="false" customHeight="false" outlineLevel="0" collapsed="false">
      <c r="A83" s="0" t="s">
        <v>781</v>
      </c>
      <c r="B83" s="57" t="s">
        <v>763</v>
      </c>
      <c r="K83" s="118" t="n">
        <f aca="false">IF(K60=0,0,K60/K60)</f>
        <v>1</v>
      </c>
      <c r="L83" s="118" t="n">
        <f aca="false">IF(K60=0,0,L60/K60)</f>
        <v>0.854700854700855</v>
      </c>
      <c r="M83" s="118" t="n">
        <f aca="false">IF(K60=0,0,M60/K60)</f>
        <v>0.800376068376068</v>
      </c>
      <c r="N83" s="118" t="n">
        <f aca="false">IF(K60=0,0,N60/K60)</f>
        <v>0.743634442082017</v>
      </c>
      <c r="O83" s="118" t="n">
        <f aca="false">IF(K60=0,0,O60/K60)</f>
        <v>0.666421296008826</v>
      </c>
      <c r="P83" s="118" t="n">
        <f aca="false">IF(K60=0,0,P60/K60)</f>
        <v>0.633958879207268</v>
      </c>
      <c r="Q83" s="118" t="n">
        <f aca="false">IF(K60=0,0,Q60/K60)</f>
        <v>0.603498947521221</v>
      </c>
      <c r="R83" s="118" t="n">
        <f aca="false">IF(K60=0,0,R60/K60)</f>
        <v>0.574917975131201</v>
      </c>
      <c r="S83" s="37" t="n">
        <f aca="false">O83</f>
        <v>0.666421296008826</v>
      </c>
    </row>
    <row r="84" customFormat="false" ht="15" hidden="false" customHeight="false" outlineLevel="0" collapsed="false">
      <c r="A84" s="0" t="s">
        <v>782</v>
      </c>
      <c r="B84" s="57" t="s">
        <v>764</v>
      </c>
      <c r="L84" s="118" t="n">
        <f aca="false">IF(L61=0,0,L61/L61)</f>
        <v>1</v>
      </c>
      <c r="M84" s="118" t="n">
        <f aca="false">IF(L61=0,0,M61/L61)</f>
        <v>0.882188888888889</v>
      </c>
      <c r="N84" s="118" t="n">
        <f aca="false">IF(L61=0,0,N61/L61)</f>
        <v>0.815683594644144</v>
      </c>
      <c r="O84" s="118" t="n">
        <f aca="false">IF(L61=0,0,O61/L61)</f>
        <v>0.755173539260074</v>
      </c>
      <c r="P84" s="118" t="n">
        <f aca="false">IF(L61=0,0,P61/L61)</f>
        <v>0.680770471474124</v>
      </c>
      <c r="Q84" s="118" t="n">
        <f aca="false">IF(L61=0,0,Q61/L61)</f>
        <v>0.646171783780678</v>
      </c>
      <c r="R84" s="118" t="n">
        <f aca="false">IF(L61=0,0,R61/L61)</f>
        <v>0.613707359766548</v>
      </c>
      <c r="S84" s="37" t="n">
        <f aca="false">P84</f>
        <v>0.680770471474124</v>
      </c>
    </row>
    <row r="85" customFormat="false" ht="15" hidden="false" customHeight="false" outlineLevel="0" collapsed="false">
      <c r="A85" s="0" t="s">
        <v>783</v>
      </c>
      <c r="B85" s="57" t="s">
        <v>765</v>
      </c>
      <c r="M85" s="118" t="n">
        <f aca="false">IF(M62=0,0,M62/M62)</f>
        <v>1</v>
      </c>
      <c r="N85" s="118" t="n">
        <f aca="false">IF(M62=0,0,N62/M62)</f>
        <v>0.89762992397288</v>
      </c>
      <c r="O85" s="118" t="n">
        <f aca="false">IF(M62=0,0,O62/M62)</f>
        <v>0.830331515234111</v>
      </c>
      <c r="P85" s="118" t="n">
        <f aca="false">IF(M62=0,0,P62/M62)</f>
        <v>0.769099842082548</v>
      </c>
      <c r="Q85" s="118" t="n">
        <f aca="false">IF(M62=0,0,Q62/M62)</f>
        <v>0.693155536651046</v>
      </c>
      <c r="R85" s="118" t="n">
        <f aca="false">IF(M62=0,0,R62/M62)</f>
        <v>0.658123538579208</v>
      </c>
      <c r="S85" s="37" t="n">
        <f aca="false">Q85</f>
        <v>0.693155536651046</v>
      </c>
    </row>
    <row r="86" customFormat="false" ht="15" hidden="false" customHeight="false" outlineLevel="0" collapsed="false">
      <c r="A86" s="0" t="s">
        <v>784</v>
      </c>
      <c r="B86" s="57" t="s">
        <v>766</v>
      </c>
      <c r="N86" s="118" t="n">
        <f aca="false">IF(N63=0,0,N63/N63)</f>
        <v>1</v>
      </c>
      <c r="O86" s="118" t="n">
        <f aca="false">IF(N63=0,0,O63/N63)</f>
        <v>0.89712184463168</v>
      </c>
      <c r="P86" s="118" t="n">
        <f aca="false">IF(N63=0,0,P63/N63)</f>
        <v>0.828463509908308</v>
      </c>
      <c r="Q86" s="118" t="n">
        <f aca="false">IF(N63=0,0,Q63/N63)</f>
        <v>0.765994503735652</v>
      </c>
      <c r="R86" s="118" t="n">
        <f aca="false">IF(N63=0,0,R63/N63)</f>
        <v>0.692562811433163</v>
      </c>
      <c r="S86" s="37" t="n">
        <f aca="false">R86</f>
        <v>0.692562811433163</v>
      </c>
    </row>
    <row r="87" customFormat="false" ht="15" hidden="false" customHeight="false" outlineLevel="0" collapsed="false">
      <c r="A87" s="0" t="s">
        <v>785</v>
      </c>
      <c r="B87" s="57" t="s">
        <v>767</v>
      </c>
      <c r="O87" s="118" t="n">
        <f aca="false">IF(O64=0,0,O64/O64)</f>
        <v>1</v>
      </c>
      <c r="P87" s="118" t="n">
        <f aca="false">IF(O64=0,0,P64/O64)</f>
        <v>0.896690476786428</v>
      </c>
      <c r="Q87" s="118" t="n">
        <f aca="false">IF(O64=0,0,Q64/O64)</f>
        <v>0.828132727902863</v>
      </c>
      <c r="R87" s="118" t="n">
        <f aca="false">IF(O64=0,0,R64/O64)</f>
        <v>0.765755240079335</v>
      </c>
    </row>
    <row r="88" customFormat="false" ht="15" hidden="false" customHeight="false" outlineLevel="0" collapsed="false">
      <c r="A88" s="0" t="s">
        <v>786</v>
      </c>
      <c r="B88" s="57" t="s">
        <v>768</v>
      </c>
      <c r="P88" s="118" t="n">
        <f aca="false">IF(P65=0,0,P65/P65)</f>
        <v>1</v>
      </c>
      <c r="Q88" s="118" t="n">
        <f aca="false">IF(P65=0,0,Q65/P65)</f>
        <v>0.896047736004304</v>
      </c>
      <c r="R88" s="118" t="n">
        <f aca="false">IF(P65=0,0,R65/P65)</f>
        <v>0.827381175549923</v>
      </c>
    </row>
    <row r="89" customFormat="false" ht="15" hidden="false" customHeight="false" outlineLevel="0" collapsed="false">
      <c r="A89" s="0" t="s">
        <v>787</v>
      </c>
      <c r="B89" s="57" t="s">
        <v>769</v>
      </c>
      <c r="Q89" s="118" t="n">
        <f aca="false">IF(Q66=0,0,Q66/Q66)</f>
        <v>1</v>
      </c>
      <c r="R89" s="118" t="n">
        <f aca="false">IF(Q66=0,0,R66/Q66)</f>
        <v>0.895346553459721</v>
      </c>
    </row>
    <row r="90" customFormat="false" ht="15" hidden="false" customHeight="false" outlineLevel="0" collapsed="false">
      <c r="A90" s="0" t="s">
        <v>788</v>
      </c>
      <c r="B90" s="57" t="s">
        <v>770</v>
      </c>
      <c r="R90" s="118" t="n">
        <f aca="false">IF(R67=0,0,R67/R67)</f>
        <v>1</v>
      </c>
    </row>
    <row r="91" customFormat="false" ht="15" hidden="false" customHeight="false" outlineLevel="0" collapsed="false">
      <c r="A91" s="5" t="s">
        <v>793</v>
      </c>
      <c r="S91" s="37" t="n">
        <f aca="false">AVERAGE(S75:S78)</f>
        <v>0.720246293639407</v>
      </c>
      <c r="T91" s="37" t="n">
        <f aca="false">AVERAGE(T75:T78)</f>
        <v>0.572518470340023</v>
      </c>
    </row>
    <row r="92" customFormat="false" ht="15" hidden="false" customHeight="false" outlineLevel="0" collapsed="false">
      <c r="A92" s="5" t="s">
        <v>794</v>
      </c>
      <c r="S92" s="37" t="n">
        <f aca="false">AVERAGE(S79:S82)</f>
        <v>0.667517335231554</v>
      </c>
      <c r="T92" s="37" t="n">
        <f aca="false">AVERAGE(T79:T82)</f>
        <v>0.529302333234546</v>
      </c>
    </row>
    <row r="95" customFormat="false" ht="15" hidden="false" customHeight="false" outlineLevel="0" collapsed="false">
      <c r="A95" s="25" t="s">
        <v>797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798</v>
      </c>
    </row>
    <row r="3" customFormat="false" ht="15" hidden="false" customHeight="false" outlineLevel="0" collapsed="false">
      <c r="A3" s="50" t="s">
        <v>799</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800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390</v>
      </c>
      <c r="B9" s="63" t="s">
        <v>31</v>
      </c>
      <c r="C9" s="64" t="n">
        <f aca="false">SUM(E9:P9)</f>
        <v>1240782.39996435</v>
      </c>
      <c r="D9" s="64" t="n">
        <f aca="false">SUM(Q9:AB9)</f>
        <v>1499334.92776172</v>
      </c>
      <c r="E9" s="65" t="n">
        <f aca="false">-PL!E27</f>
        <v>94627.9</v>
      </c>
      <c r="F9" s="65" t="n">
        <f aca="false">-PL!F27</f>
        <v>99744.3</v>
      </c>
      <c r="G9" s="65" t="n">
        <f aca="false">-PL!G27</f>
        <v>102857.49</v>
      </c>
      <c r="H9" s="65" t="n">
        <f aca="false">-PL!H27</f>
        <v>108082.56</v>
      </c>
      <c r="I9" s="65" t="n">
        <f aca="false">-PL!I27</f>
        <v>107934.2</v>
      </c>
      <c r="J9" s="65" t="n">
        <f aca="false">-PL!J27</f>
        <v>107992.21</v>
      </c>
      <c r="K9" s="65" t="n">
        <f aca="false">-PL!K27</f>
        <v>107740.71</v>
      </c>
      <c r="L9" s="65" t="n">
        <f aca="false">-PL!L27</f>
        <v>102906.23</v>
      </c>
      <c r="M9" s="65" t="n">
        <f aca="false">-PL!M27</f>
        <v>101090.186317667</v>
      </c>
      <c r="N9" s="65" t="n">
        <f aca="false">-PL!N27</f>
        <v>99275.9490766736</v>
      </c>
      <c r="O9" s="65" t="n">
        <f aca="false">-PL!O27</f>
        <v>104300.55150736</v>
      </c>
      <c r="P9" s="65" t="n">
        <f aca="false">-PL!P27</f>
        <v>104230.113062649</v>
      </c>
      <c r="Q9" s="65" t="n">
        <f aca="false">-PL!Q27</f>
        <v>123354.02072738</v>
      </c>
      <c r="R9" s="65" t="n">
        <f aca="false">-PL!R27</f>
        <v>123078.390081393</v>
      </c>
      <c r="S9" s="65" t="n">
        <f aca="false">-PL!S27</f>
        <v>122806.388984806</v>
      </c>
      <c r="T9" s="65" t="n">
        <f aca="false">-PL!T27</f>
        <v>122816.711322478</v>
      </c>
      <c r="U9" s="65" t="n">
        <f aca="false">-PL!U27</f>
        <v>126014.991424686</v>
      </c>
      <c r="V9" s="65" t="n">
        <f aca="false">-PL!V27</f>
        <v>125948.165699216</v>
      </c>
      <c r="W9" s="65" t="n">
        <f aca="false">-PL!W27</f>
        <v>125882.933389866</v>
      </c>
      <c r="X9" s="65" t="n">
        <f aca="false">-PL!X27</f>
        <v>125885.684267898</v>
      </c>
      <c r="Y9" s="65" t="n">
        <f aca="false">-PL!Y27</f>
        <v>125886.985889477</v>
      </c>
      <c r="Z9" s="65" t="n">
        <f aca="false">-PL!Z27</f>
        <v>125886.901467476</v>
      </c>
      <c r="AA9" s="65" t="n">
        <f aca="false">-PL!AA27</f>
        <v>125886.876110025</v>
      </c>
      <c r="AB9" s="65" t="n">
        <f aca="false">-PL!AB27</f>
        <v>125886.878397022</v>
      </c>
    </row>
    <row r="10" customFormat="false" ht="15" hidden="false" customHeight="false" outlineLevel="0" collapsed="false">
      <c r="A10" s="28" t="s">
        <v>801</v>
      </c>
      <c r="B10" s="63" t="s">
        <v>31</v>
      </c>
      <c r="C10" s="64" t="n">
        <f aca="false">SUM(E10:P10)</f>
        <v>1114352.5</v>
      </c>
      <c r="D10" s="64" t="n">
        <f aca="false">SUM(Q10:AB10)</f>
        <v>1151643</v>
      </c>
      <c r="E10" s="65" t="n">
        <f aca="false">-(PL!E28+PL!E29)</f>
        <v>96615.75</v>
      </c>
      <c r="F10" s="65" t="n">
        <f aca="false">-(PL!F28+PL!F29)</f>
        <v>100121.82</v>
      </c>
      <c r="G10" s="65" t="n">
        <f aca="false">-(PL!G28+PL!G29)</f>
        <v>96498.05</v>
      </c>
      <c r="H10" s="65" t="n">
        <f aca="false">-(PL!H28+PL!H29)</f>
        <v>89429.24</v>
      </c>
      <c r="I10" s="65" t="n">
        <f aca="false">-(PL!I28+PL!I29)</f>
        <v>109141.25</v>
      </c>
      <c r="J10" s="65" t="n">
        <f aca="false">-(PL!J28+PL!J29)</f>
        <v>95676.28</v>
      </c>
      <c r="K10" s="65" t="n">
        <f aca="false">-(PL!K28+PL!K29)</f>
        <v>92067.11</v>
      </c>
      <c r="L10" s="65" t="n">
        <f aca="false">-(PL!L28+PL!L29)</f>
        <v>74803</v>
      </c>
      <c r="M10" s="65" t="n">
        <f aca="false">-(PL!M28+PL!M29)</f>
        <v>90000</v>
      </c>
      <c r="N10" s="65" t="n">
        <f aca="false">-(PL!N28+PL!N29)</f>
        <v>90000</v>
      </c>
      <c r="O10" s="65" t="n">
        <f aca="false">-(PL!O28+PL!O29)</f>
        <v>90000</v>
      </c>
      <c r="P10" s="65" t="n">
        <f aca="false">-(PL!P28+PL!P29)</f>
        <v>90000</v>
      </c>
      <c r="Q10" s="65" t="n">
        <f aca="false">-(PL!Q28+PL!Q29)</f>
        <v>102897</v>
      </c>
      <c r="R10" s="65" t="n">
        <f aca="false">-(PL!R28+PL!R29)</f>
        <v>102897</v>
      </c>
      <c r="S10" s="65" t="n">
        <f aca="false">-(PL!S28+PL!S29)</f>
        <v>102897</v>
      </c>
      <c r="T10" s="65" t="n">
        <f aca="false">-(PL!T28+PL!T29)</f>
        <v>92700</v>
      </c>
      <c r="U10" s="65" t="n">
        <f aca="false">-(PL!U28+PL!U29)</f>
        <v>114948</v>
      </c>
      <c r="V10" s="65" t="n">
        <f aca="false">-(PL!V28+PL!V29)</f>
        <v>92700</v>
      </c>
      <c r="W10" s="65" t="n">
        <f aca="false">-(PL!W28+PL!W29)</f>
        <v>92700</v>
      </c>
      <c r="X10" s="65" t="n">
        <f aca="false">-(PL!X28+PL!X29)</f>
        <v>79104</v>
      </c>
      <c r="Y10" s="65" t="n">
        <f aca="false">-(PL!Y28+PL!Y29)</f>
        <v>92700</v>
      </c>
      <c r="Z10" s="65" t="n">
        <f aca="false">-(PL!Z28+PL!Z29)</f>
        <v>92700</v>
      </c>
      <c r="AA10" s="65" t="n">
        <f aca="false">-(PL!AA28+PL!AA29)</f>
        <v>92700</v>
      </c>
      <c r="AB10" s="65" t="n">
        <f aca="false">-(PL!AB28+PL!AB29)</f>
        <v>92700</v>
      </c>
    </row>
    <row r="11" customFormat="false" ht="15" hidden="false" customHeight="false" outlineLevel="0" collapsed="false">
      <c r="A11" s="28" t="s">
        <v>802</v>
      </c>
      <c r="B11" s="63" t="s">
        <v>62</v>
      </c>
      <c r="C11" s="64" t="n">
        <f aca="false">SUM(E11:P11)</f>
        <v>150622.789316654</v>
      </c>
      <c r="D11" s="64" t="n">
        <f aca="false">SUM(Q11:AB11)</f>
        <v>162548.279945203</v>
      </c>
      <c r="E11" s="65" t="n">
        <f aca="false">Capitalised_Costs!E15</f>
        <v>15986.938755</v>
      </c>
      <c r="F11" s="65" t="n">
        <f aca="false">Capitalised_Costs!F15</f>
        <v>7431.997065</v>
      </c>
      <c r="G11" s="65" t="n">
        <f aca="false">Capitalised_Costs!G15</f>
        <v>13413.43644</v>
      </c>
      <c r="H11" s="65" t="n">
        <f aca="false">Capitalised_Costs!H15</f>
        <v>26733.97143</v>
      </c>
      <c r="I11" s="65" t="n">
        <f aca="false">Capitalised_Costs!I15</f>
        <v>6799.606455</v>
      </c>
      <c r="J11" s="65" t="n">
        <f aca="false">Capitalised_Costs!J15</f>
        <v>8439.217935</v>
      </c>
      <c r="K11" s="65" t="n">
        <f aca="false">Capitalised_Costs!K15</f>
        <v>17187.66687</v>
      </c>
      <c r="L11" s="65" t="n">
        <f aca="false">Capitalised_Costs!L15</f>
        <v>8543.722155</v>
      </c>
      <c r="M11" s="65" t="n">
        <f aca="false">Capitalised_Costs!M15</f>
        <v>8761.39203636443</v>
      </c>
      <c r="N11" s="65" t="n">
        <f aca="false">Capitalised_Costs!N15</f>
        <v>8513.78917141722</v>
      </c>
      <c r="O11" s="65" t="n">
        <f aca="false">Capitalised_Costs!O15</f>
        <v>15100.6750082606</v>
      </c>
      <c r="P11" s="65" t="n">
        <f aca="false">Capitalised_Costs!P15</f>
        <v>13710.3759956122</v>
      </c>
      <c r="Q11" s="65" t="n">
        <f aca="false">Capitalised_Costs!Q15</f>
        <v>15616.2224504848</v>
      </c>
      <c r="R11" s="65" t="n">
        <f aca="false">Capitalised_Costs!R15</f>
        <v>12776.4393486313</v>
      </c>
      <c r="S11" s="65" t="n">
        <f aca="false">Capitalised_Costs!S15</f>
        <v>14229.4669058504</v>
      </c>
      <c r="T11" s="65" t="n">
        <f aca="false">Capitalised_Costs!T15</f>
        <v>13568.6333529971</v>
      </c>
      <c r="U11" s="65" t="n">
        <f aca="false">Capitalised_Costs!U15</f>
        <v>8572.83503793818</v>
      </c>
      <c r="V11" s="65" t="n">
        <f aca="false">Capitalised_Costs!V15</f>
        <v>13980.926784703</v>
      </c>
      <c r="W11" s="65" t="n">
        <f aca="false">Capitalised_Costs!W15</f>
        <v>13486.5223646354</v>
      </c>
      <c r="X11" s="65" t="n">
        <f aca="false">Capitalised_Costs!X15</f>
        <v>11776.7932704365</v>
      </c>
      <c r="Y11" s="65" t="n">
        <f aca="false">Capitalised_Costs!Y15</f>
        <v>15304.9640336721</v>
      </c>
      <c r="Z11" s="65" t="n">
        <f aca="false">Capitalised_Costs!Z15</f>
        <v>15063.8797795759</v>
      </c>
      <c r="AA11" s="65" t="n">
        <f aca="false">Capitalised_Costs!AA15</f>
        <v>14961.1967782366</v>
      </c>
      <c r="AB11" s="65" t="n">
        <f aca="false">Capitalised_Costs!AB15</f>
        <v>13210.3998380415</v>
      </c>
    </row>
    <row r="12" customFormat="false" ht="15" hidden="false" customHeight="false" outlineLevel="0" collapsed="false">
      <c r="A12" s="59" t="s">
        <v>803</v>
      </c>
      <c r="B12" s="60"/>
      <c r="C12" s="61" t="n">
        <f aca="false">SUM(E12:P12)</f>
        <v>2505757.689281</v>
      </c>
      <c r="D12" s="61" t="n">
        <f aca="false">SUM(Q12:AB12)</f>
        <v>2813526.20770693</v>
      </c>
      <c r="E12" s="61" t="n">
        <f aca="false">E9+E10+E11</f>
        <v>207230.588755</v>
      </c>
      <c r="F12" s="61" t="n">
        <f aca="false">F9+F10+F11</f>
        <v>207298.117065</v>
      </c>
      <c r="G12" s="61" t="n">
        <f aca="false">G9+G10+G11</f>
        <v>212768.97644</v>
      </c>
      <c r="H12" s="61" t="n">
        <f aca="false">H9+H10+H11</f>
        <v>224245.77143</v>
      </c>
      <c r="I12" s="61" t="n">
        <f aca="false">I9+I10+I11</f>
        <v>223875.056455</v>
      </c>
      <c r="J12" s="61" t="n">
        <f aca="false">J9+J10+J11</f>
        <v>212107.707935</v>
      </c>
      <c r="K12" s="61" t="n">
        <f aca="false">K9+K10+K11</f>
        <v>216995.48687</v>
      </c>
      <c r="L12" s="61" t="n">
        <f aca="false">L9+L10+L11</f>
        <v>186252.952155</v>
      </c>
      <c r="M12" s="61" t="n">
        <f aca="false">M9+M10+M11</f>
        <v>199851.578354031</v>
      </c>
      <c r="N12" s="61" t="n">
        <f aca="false">N9+N10+N11</f>
        <v>197789.738248091</v>
      </c>
      <c r="O12" s="61" t="n">
        <f aca="false">O9+O10+O11</f>
        <v>209401.226515621</v>
      </c>
      <c r="P12" s="61" t="n">
        <f aca="false">P9+P10+P11</f>
        <v>207940.489058261</v>
      </c>
      <c r="Q12" s="61" t="n">
        <f aca="false">Q9+Q10+Q11</f>
        <v>241867.243177865</v>
      </c>
      <c r="R12" s="61" t="n">
        <f aca="false">R9+R10+R11</f>
        <v>238751.829430024</v>
      </c>
      <c r="S12" s="61" t="n">
        <f aca="false">S9+S10+S11</f>
        <v>239932.855890656</v>
      </c>
      <c r="T12" s="61" t="n">
        <f aca="false">T9+T10+T11</f>
        <v>229085.344675476</v>
      </c>
      <c r="U12" s="61" t="n">
        <f aca="false">U9+U10+U11</f>
        <v>249535.826462624</v>
      </c>
      <c r="V12" s="61" t="n">
        <f aca="false">V9+V10+V11</f>
        <v>232629.092483919</v>
      </c>
      <c r="W12" s="61" t="n">
        <f aca="false">W9+W10+W11</f>
        <v>232069.455754502</v>
      </c>
      <c r="X12" s="61" t="n">
        <f aca="false">X9+X10+X11</f>
        <v>216766.477538334</v>
      </c>
      <c r="Y12" s="61" t="n">
        <f aca="false">Y9+Y10+Y11</f>
        <v>233891.94992315</v>
      </c>
      <c r="Z12" s="61" t="n">
        <f aca="false">Z9+Z10+Z11</f>
        <v>233650.781247052</v>
      </c>
      <c r="AA12" s="61" t="n">
        <f aca="false">AA9+AA10+AA11</f>
        <v>233548.072888261</v>
      </c>
      <c r="AB12" s="61" t="n">
        <f aca="false">AB9+AB10+AB11</f>
        <v>231797.278235064</v>
      </c>
    </row>
    <row r="13" customFormat="false" ht="15" hidden="false" customHeight="false" outlineLevel="0" collapsed="false">
      <c r="A13" s="28" t="s">
        <v>732</v>
      </c>
      <c r="B13" s="63" t="s">
        <v>58</v>
      </c>
      <c r="C13" s="68" t="n">
        <f aca="false">SUM(E13:P13)</f>
        <v>422.05322</v>
      </c>
      <c r="D13" s="68" t="n">
        <f aca="false">SUM(Q13:AB13)</f>
        <v>414.55</v>
      </c>
      <c r="E13" s="69" t="n">
        <f aca="false">New_Business!E23</f>
        <v>40</v>
      </c>
      <c r="F13" s="69" t="n">
        <f aca="false">New_Business!F23</f>
        <v>39</v>
      </c>
      <c r="G13" s="69" t="n">
        <f aca="false">New_Business!G23</f>
        <v>42</v>
      </c>
      <c r="H13" s="69" t="n">
        <f aca="false">New_Business!H23</f>
        <v>35</v>
      </c>
      <c r="I13" s="69" t="n">
        <f aca="false">New_Business!I23</f>
        <v>24</v>
      </c>
      <c r="J13" s="69" t="n">
        <f aca="false">New_Business!J23</f>
        <v>36</v>
      </c>
      <c r="K13" s="69" t="n">
        <f aca="false">New_Business!K23</f>
        <v>39</v>
      </c>
      <c r="L13" s="69" t="n">
        <f aca="false">New_Business!L23</f>
        <v>26</v>
      </c>
      <c r="M13" s="69" t="n">
        <f aca="false">New_Business!M23</f>
        <v>37.13831</v>
      </c>
      <c r="N13" s="69" t="n">
        <f aca="false">New_Business!N23</f>
        <v>38.51254</v>
      </c>
      <c r="O13" s="69" t="n">
        <f aca="false">New_Business!O23</f>
        <v>35.67526</v>
      </c>
      <c r="P13" s="69" t="n">
        <f aca="false">New_Business!P23</f>
        <v>29.72711</v>
      </c>
      <c r="Q13" s="69" t="n">
        <f aca="false">New_Business!Q23</f>
        <v>42.40323</v>
      </c>
      <c r="R13" s="69" t="n">
        <f aca="false">New_Business!R23</f>
        <v>37.63831</v>
      </c>
      <c r="S13" s="69" t="n">
        <f aca="false">New_Business!S23</f>
        <v>36.50508</v>
      </c>
      <c r="T13" s="69" t="n">
        <f aca="false">New_Business!T23</f>
        <v>34.88644</v>
      </c>
      <c r="U13" s="69" t="n">
        <f aca="false">New_Business!U23</f>
        <v>34.38644</v>
      </c>
      <c r="V13" s="69" t="n">
        <f aca="false">New_Business!V23</f>
        <v>33.1678</v>
      </c>
      <c r="W13" s="69" t="n">
        <f aca="false">New_Business!W23</f>
        <v>29.72711</v>
      </c>
      <c r="X13" s="69" t="n">
        <f aca="false">New_Business!X23</f>
        <v>23.88237</v>
      </c>
      <c r="Y13" s="69" t="n">
        <f aca="false">New_Business!Y23</f>
        <v>37.63831</v>
      </c>
      <c r="Z13" s="69" t="n">
        <f aca="false">New_Business!Z23</f>
        <v>39.01254</v>
      </c>
      <c r="AA13" s="69" t="n">
        <f aca="false">New_Business!AA23</f>
        <v>35.57526</v>
      </c>
      <c r="AB13" s="69" t="n">
        <f aca="false">New_Business!AB23</f>
        <v>29.72711</v>
      </c>
    </row>
    <row r="14" customFormat="false" ht="15" hidden="false" customHeight="false" outlineLevel="0" collapsed="false">
      <c r="A14" s="28" t="s">
        <v>804</v>
      </c>
      <c r="B14" s="63" t="s">
        <v>58</v>
      </c>
      <c r="C14" s="64" t="n">
        <f aca="false">SUM(E14:P14)</f>
        <v>156159.3993</v>
      </c>
      <c r="D14" s="64" t="n">
        <f aca="false">SUM(Q14:AB14)</f>
        <v>165567.9</v>
      </c>
      <c r="E14" s="65" t="n">
        <f aca="false">New_Business!E24</f>
        <v>14644.77</v>
      </c>
      <c r="F14" s="65" t="n">
        <f aca="false">New_Business!F24</f>
        <v>11106.27</v>
      </c>
      <c r="G14" s="65" t="n">
        <f aca="false">New_Business!G24</f>
        <v>13970.62</v>
      </c>
      <c r="H14" s="65" t="n">
        <f aca="false">New_Business!H24</f>
        <v>21924.04</v>
      </c>
      <c r="I14" s="65" t="n">
        <f aca="false">New_Business!I24</f>
        <v>7429.98</v>
      </c>
      <c r="J14" s="65" t="n">
        <f aca="false">New_Business!J24</f>
        <v>10786.34</v>
      </c>
      <c r="K14" s="65" t="n">
        <f aca="false">New_Business!K24</f>
        <v>16611.36</v>
      </c>
      <c r="L14" s="65" t="n">
        <f aca="false">New_Business!L24</f>
        <v>9140.67</v>
      </c>
      <c r="M14" s="65" t="n">
        <f aca="false">New_Business!M24</f>
        <v>11072.33515</v>
      </c>
      <c r="N14" s="65" t="n">
        <f aca="false">New_Business!N24</f>
        <v>11482.0451</v>
      </c>
      <c r="O14" s="65" t="n">
        <f aca="false">New_Business!O24</f>
        <v>14777.2619</v>
      </c>
      <c r="P14" s="65" t="n">
        <f aca="false">New_Business!P24</f>
        <v>13213.70715</v>
      </c>
      <c r="Q14" s="65" t="n">
        <f aca="false">New_Business!Q24</f>
        <v>16058.2371975</v>
      </c>
      <c r="R14" s="65" t="n">
        <f aca="false">New_Business!R24</f>
        <v>14325.9519075</v>
      </c>
      <c r="S14" s="65" t="n">
        <f aca="false">New_Business!S24</f>
        <v>14422.50471</v>
      </c>
      <c r="T14" s="65" t="n">
        <f aca="false">New_Business!T24</f>
        <v>13764.49353</v>
      </c>
      <c r="U14" s="65" t="n">
        <f aca="false">New_Business!U24</f>
        <v>10764.49353</v>
      </c>
      <c r="V14" s="65" t="n">
        <f aca="false">New_Business!V24</f>
        <v>13901.48235</v>
      </c>
      <c r="W14" s="65" t="n">
        <f aca="false">New_Business!W24</f>
        <v>12824.3925075</v>
      </c>
      <c r="X14" s="65" t="n">
        <f aca="false">New_Business!X24</f>
        <v>10994.7275025</v>
      </c>
      <c r="Y14" s="65" t="n">
        <f aca="false">New_Business!Y24</f>
        <v>15300.9519075</v>
      </c>
      <c r="Z14" s="65" t="n">
        <f aca="false">New_Business!Z24</f>
        <v>15731.147355</v>
      </c>
      <c r="AA14" s="65" t="n">
        <f aca="false">New_Business!AA24</f>
        <v>14655.124995</v>
      </c>
      <c r="AB14" s="65" t="n">
        <f aca="false">New_Business!AB24</f>
        <v>12824.3925075</v>
      </c>
    </row>
    <row r="15" customFormat="false" ht="15" hidden="false" customHeight="false" outlineLevel="0" collapsed="false">
      <c r="A15" s="28" t="s">
        <v>805</v>
      </c>
      <c r="B15" s="63" t="s">
        <v>45</v>
      </c>
      <c r="C15" s="64" t="n">
        <f aca="false">SUM(E15:P15)</f>
        <v>48267.536915388</v>
      </c>
      <c r="D15" s="64" t="n">
        <f aca="false">SUM(Q15:AB15)</f>
        <v>59650.0725695493</v>
      </c>
      <c r="E15" s="65" t="n">
        <f aca="false">ARR_Bridge!E56</f>
        <v>4876.57</v>
      </c>
      <c r="F15" s="65" t="n">
        <f aca="false">ARR_Bridge!F56</f>
        <v>2987.21</v>
      </c>
      <c r="G15" s="65" t="n">
        <f aca="false">ARR_Bridge!G56</f>
        <v>4650.84</v>
      </c>
      <c r="H15" s="65" t="n">
        <f aca="false">ARR_Bridge!H56</f>
        <v>3456.94</v>
      </c>
      <c r="I15" s="65" t="n">
        <f aca="false">ARR_Bridge!I56</f>
        <v>4741.77</v>
      </c>
      <c r="J15" s="65" t="n">
        <f aca="false">ARR_Bridge!J56</f>
        <v>4287.69</v>
      </c>
      <c r="K15" s="65" t="n">
        <f aca="false">ARR_Bridge!K56</f>
        <v>3566.57</v>
      </c>
      <c r="L15" s="65" t="n">
        <f aca="false">ARR_Bridge!L56</f>
        <v>3321.5</v>
      </c>
      <c r="M15" s="65" t="n">
        <f aca="false">ARR_Bridge!M56</f>
        <v>4466.58738332</v>
      </c>
      <c r="N15" s="65" t="n">
        <f aca="false">ARR_Bridge!N56</f>
        <v>3874.45055221071</v>
      </c>
      <c r="O15" s="65" t="n">
        <f aca="false">ARR_Bridge!O56</f>
        <v>4380.14996197008</v>
      </c>
      <c r="P15" s="65" t="n">
        <f aca="false">ARR_Bridge!P56</f>
        <v>3657.25901788719</v>
      </c>
      <c r="Q15" s="65" t="n">
        <f aca="false">ARR_Bridge!Q56</f>
        <v>5780.54216316409</v>
      </c>
      <c r="R15" s="65" t="n">
        <f aca="false">ARR_Bridge!R56</f>
        <v>3980.91372055375</v>
      </c>
      <c r="S15" s="65" t="n">
        <f aca="false">ARR_Bridge!S56</f>
        <v>5261.67374845103</v>
      </c>
      <c r="T15" s="65" t="n">
        <f aca="false">ARR_Bridge!T56</f>
        <v>5122.44708437593</v>
      </c>
      <c r="U15" s="65" t="n">
        <f aca="false">ARR_Bridge!U56</f>
        <v>4856.49422128578</v>
      </c>
      <c r="V15" s="65" t="n">
        <f aca="false">ARR_Bridge!V56</f>
        <v>4772.43047818021</v>
      </c>
      <c r="W15" s="65" t="n">
        <f aca="false">ARR_Bridge!W56</f>
        <v>5014.39798337839</v>
      </c>
      <c r="X15" s="65" t="n">
        <f aca="false">ARR_Bridge!X56</f>
        <v>4303.20933037771</v>
      </c>
      <c r="Y15" s="65" t="n">
        <f aca="false">ARR_Bridge!Y56</f>
        <v>5406.46855268028</v>
      </c>
      <c r="Z15" s="65" t="n">
        <f aca="false">ARR_Bridge!Z56</f>
        <v>4803.59083285452</v>
      </c>
      <c r="AA15" s="65" t="n">
        <f aca="false">ARR_Bridge!AA56</f>
        <v>5549.68109973356</v>
      </c>
      <c r="AB15" s="65" t="n">
        <f aca="false">ARR_Bridge!AB56</f>
        <v>4798.22335451407</v>
      </c>
    </row>
    <row r="16" customFormat="false" ht="15" hidden="false" customHeight="false" outlineLevel="0" collapsed="false">
      <c r="A16" s="59" t="s">
        <v>806</v>
      </c>
      <c r="B16" s="60"/>
      <c r="C16" s="61" t="n">
        <f aca="false">P16</f>
        <v>5919.56874929664</v>
      </c>
      <c r="D16" s="61" t="n">
        <f aca="false">AB16</f>
        <v>6700.82668307318</v>
      </c>
      <c r="E16" s="61" t="n">
        <f aca="false">IF(SUM(E13:E13)=0,0,SUM(E12:E12)/SUM(E13:E13))</f>
        <v>5180.764718875</v>
      </c>
      <c r="F16" s="61" t="n">
        <f aca="false">IF(SUM(E13:F13)=0,0,SUM(E12:F12)/SUM(E13:F13))</f>
        <v>5247.1988078481</v>
      </c>
      <c r="G16" s="61" t="n">
        <f aca="false">IF(SUM(E13:G13)=0,0,SUM(E12:G12)/SUM(E13:G13))</f>
        <v>5184.27836578512</v>
      </c>
      <c r="H16" s="61" t="n">
        <f aca="false">IF(SUM(F13:H13)=0,0,SUM(F12:H12)/SUM(F13:H13))</f>
        <v>5554.42124943966</v>
      </c>
      <c r="I16" s="61" t="n">
        <f aca="false">IF(SUM(G13:I13)=0,0,SUM(G12:I12)/SUM(G13:I13))</f>
        <v>6543.46340915842</v>
      </c>
      <c r="J16" s="61" t="n">
        <f aca="false">IF(SUM(H13:J13)=0,0,SUM(H12:J12)/SUM(H13:J13))</f>
        <v>6949.77406126316</v>
      </c>
      <c r="K16" s="61" t="n">
        <f aca="false">IF(SUM(I13:K13)=0,0,SUM(I12:K12)/SUM(I13:K13))</f>
        <v>6595.73991171717</v>
      </c>
      <c r="L16" s="61" t="n">
        <f aca="false">IF(SUM(J13:L13)=0,0,SUM(J12:L12)/SUM(J13:L13))</f>
        <v>6092.63511841584</v>
      </c>
      <c r="M16" s="61" t="n">
        <f aca="false">IF(SUM(K13:M13)=0,0,SUM(K12:M12)/SUM(K13:M13))</f>
        <v>5904.73855871544</v>
      </c>
      <c r="N16" s="61" t="n">
        <f aca="false">IF(SUM(L13:N13)=0,0,SUM(L12:N12)/SUM(L13:N13))</f>
        <v>5744.11594942022</v>
      </c>
      <c r="O16" s="61" t="n">
        <f aca="false">IF(SUM(M13:O13)=0,0,SUM(M12:O12)/SUM(M13:O13))</f>
        <v>5452.83171322292</v>
      </c>
      <c r="P16" s="61" t="n">
        <f aca="false">IF(SUM(N13:P13)=0,0,SUM(N12:P12)/SUM(N13:P13))</f>
        <v>5919.56874929664</v>
      </c>
      <c r="Q16" s="61" t="n">
        <f aca="false">IF(SUM(O13:Q13)=0,0,SUM(O12:Q12)/SUM(O13:Q13))</f>
        <v>6114.7932830182</v>
      </c>
      <c r="R16" s="61" t="n">
        <f aca="false">IF(SUM(P13:R13)=0,0,SUM(P12:R12)/SUM(P13:R13))</f>
        <v>6272.82527084145</v>
      </c>
      <c r="S16" s="61" t="n">
        <f aca="false">IF(SUM(Q13:S13)=0,0,SUM(Q12:S12)/SUM(Q13:S13))</f>
        <v>6182.52102462126</v>
      </c>
      <c r="T16" s="61" t="n">
        <f aca="false">IF(SUM(R13:T13)=0,0,SUM(R12:T12)/SUM(R13:T13))</f>
        <v>6491.52649321893</v>
      </c>
      <c r="U16" s="61" t="n">
        <f aca="false">IF(SUM(S13:U13)=0,0,SUM(S12:U12)/SUM(S13:U13))</f>
        <v>6793.0410742347</v>
      </c>
      <c r="V16" s="61" t="n">
        <f aca="false">IF(SUM(T13:V13)=0,0,SUM(T12:V12)/SUM(T13:V13))</f>
        <v>6943.04512252377</v>
      </c>
      <c r="W16" s="61" t="n">
        <f aca="false">IF(SUM(U13:W13)=0,0,SUM(U12:W12)/SUM(U13:W13))</f>
        <v>7341.94554969729</v>
      </c>
      <c r="X16" s="61" t="n">
        <f aca="false">IF(SUM(V13:X13)=0,0,SUM(V12:X12)/SUM(V13:X13))</f>
        <v>7853.0351006249</v>
      </c>
      <c r="Y16" s="61" t="n">
        <f aca="false">IF(SUM(W13:Y13)=0,0,SUM(W12:Y12)/SUM(W13:Y13))</f>
        <v>7482.13061616051</v>
      </c>
      <c r="Z16" s="61" t="n">
        <f aca="false">IF(SUM(X13:Z13)=0,0,SUM(X12:Z12)/SUM(X13:Z13))</f>
        <v>6806.79688473657</v>
      </c>
      <c r="AA16" s="61" t="n">
        <f aca="false">IF(SUM(Y13:AA13)=0,0,SUM(Y12:AA12)/SUM(Y13:AA13))</f>
        <v>6247.12737578148</v>
      </c>
      <c r="AB16" s="61" t="n">
        <f aca="false">IF(SUM(Z13:AB13)=0,0,SUM(Z12:AB12)/SUM(Z13:AB13))</f>
        <v>6700.82668307318</v>
      </c>
    </row>
    <row r="17" customFormat="false" ht="15" hidden="false" customHeight="false" outlineLevel="0" collapsed="false">
      <c r="A17" s="28" t="s">
        <v>807</v>
      </c>
      <c r="B17" s="63" t="s">
        <v>31</v>
      </c>
      <c r="C17" s="66" t="n">
        <f aca="false">P17</f>
        <v>0.78880107229249</v>
      </c>
      <c r="D17" s="66" t="n">
        <f aca="false">AB17</f>
        <v>0.797742990718668</v>
      </c>
      <c r="E17" s="67" t="n">
        <f aca="false">IF(SUM(PL!E14:E14)=0,0,SUM(PL!E22:E22)/SUM(PL!E14:E14))</f>
        <v>0.781103964513492</v>
      </c>
      <c r="F17" s="67" t="n">
        <f aca="false">IF(SUM(PL!E14:F14)=0,0,SUM(PL!E22:F22)/SUM(PL!E14:F14))</f>
        <v>0.779933260263849</v>
      </c>
      <c r="G17" s="67" t="n">
        <f aca="false">IF(SUM(PL!E14:G14)=0,0,SUM(PL!E22:G22)/SUM(PL!E14:G14))</f>
        <v>0.781959680944951</v>
      </c>
      <c r="H17" s="67" t="n">
        <f aca="false">IF(SUM(PL!F14:H14)=0,0,SUM(PL!F22:H22)/SUM(PL!F14:H14))</f>
        <v>0.783197456602588</v>
      </c>
      <c r="I17" s="67" t="n">
        <f aca="false">IF(SUM(PL!G14:I14)=0,0,SUM(PL!G22:I22)/SUM(PL!G14:I14))</f>
        <v>0.783534625889182</v>
      </c>
      <c r="J17" s="67" t="n">
        <f aca="false">IF(SUM(PL!H14:J14)=0,0,SUM(PL!H22:J22)/SUM(PL!H14:J14))</f>
        <v>0.778748510478223</v>
      </c>
      <c r="K17" s="67" t="n">
        <f aca="false">IF(SUM(PL!I14:K14)=0,0,SUM(PL!I22:K22)/SUM(PL!I14:K14))</f>
        <v>0.777280711051998</v>
      </c>
      <c r="L17" s="67" t="n">
        <f aca="false">IF(SUM(PL!J14:L14)=0,0,SUM(PL!J22:L22)/SUM(PL!J14:L14))</f>
        <v>0.778463991617532</v>
      </c>
      <c r="M17" s="67" t="n">
        <f aca="false">IF(SUM(PL!K14:M14)=0,0,SUM(PL!K22:M22)/SUM(PL!K14:M14))</f>
        <v>0.784181998374268</v>
      </c>
      <c r="N17" s="67" t="n">
        <f aca="false">IF(SUM(PL!L14:N14)=0,0,SUM(PL!L22:N22)/SUM(PL!L14:N14))</f>
        <v>0.785942588305539</v>
      </c>
      <c r="O17" s="67" t="n">
        <f aca="false">IF(SUM(PL!M14:O14)=0,0,SUM(PL!M22:O22)/SUM(PL!M14:O14))</f>
        <v>0.787713942078186</v>
      </c>
      <c r="P17" s="67" t="n">
        <f aca="false">IF(SUM(PL!N14:P14)=0,0,SUM(PL!N22:P22)/SUM(PL!N14:P14))</f>
        <v>0.78880107229249</v>
      </c>
      <c r="Q17" s="67" t="n">
        <f aca="false">IF(SUM(PL!O14:Q14)=0,0,SUM(PL!O22:Q22)/SUM(PL!O14:Q14))</f>
        <v>0.79075609849407</v>
      </c>
      <c r="R17" s="67" t="n">
        <f aca="false">IF(SUM(PL!P14:R14)=0,0,SUM(PL!P22:R22)/SUM(PL!P14:R14))</f>
        <v>0.792627539762463</v>
      </c>
      <c r="S17" s="67" t="n">
        <f aca="false">IF(SUM(PL!Q14:S14)=0,0,SUM(PL!Q22:S22)/SUM(PL!Q14:S14))</f>
        <v>0.79042789852605</v>
      </c>
      <c r="T17" s="67" t="n">
        <f aca="false">IF(SUM(PL!R14:T14)=0,0,SUM(PL!R22:T22)/SUM(PL!R14:T14))</f>
        <v>0.789213628998693</v>
      </c>
      <c r="U17" s="67" t="n">
        <f aca="false">IF(SUM(PL!S14:U14)=0,0,SUM(PL!S22:U22)/SUM(PL!S14:U14))</f>
        <v>0.785297042014693</v>
      </c>
      <c r="V17" s="67" t="n">
        <f aca="false">IF(SUM(PL!T14:V14)=0,0,SUM(PL!T22:V22)/SUM(PL!T14:V14))</f>
        <v>0.7852827979863</v>
      </c>
      <c r="W17" s="67" t="n">
        <f aca="false">IF(SUM(PL!U14:W14)=0,0,SUM(PL!U22:W22)/SUM(PL!U14:W14))</f>
        <v>0.785297378900185</v>
      </c>
      <c r="X17" s="67" t="n">
        <f aca="false">IF(SUM(PL!V14:X14)=0,0,SUM(PL!V22:X22)/SUM(PL!V14:X14))</f>
        <v>0.787657610718159</v>
      </c>
      <c r="Y17" s="67" t="n">
        <f aca="false">IF(SUM(PL!W14:Y14)=0,0,SUM(PL!W22:Y22)/SUM(PL!W14:Y14))</f>
        <v>0.790032451300802</v>
      </c>
      <c r="Z17" s="67" t="n">
        <f aca="false">IF(SUM(PL!X14:Z14)=0,0,SUM(PL!X22:Z22)/SUM(PL!X14:Z14))</f>
        <v>0.792632612323013</v>
      </c>
      <c r="AA17" s="67" t="n">
        <f aca="false">IF(SUM(PL!Y14:AA14)=0,0,SUM(PL!Y22:AA22)/SUM(PL!Y14:AA14))</f>
        <v>0.795355268804722</v>
      </c>
      <c r="AB17" s="67" t="n">
        <f aca="false">IF(SUM(PL!Z14:AB14)=0,0,SUM(PL!Z22:AB22)/SUM(PL!Z14:AB14))</f>
        <v>0.797742990718668</v>
      </c>
    </row>
    <row r="18" customFormat="false" ht="15" hidden="false" customHeight="false" outlineLevel="0" collapsed="false">
      <c r="A18" s="59" t="s">
        <v>808</v>
      </c>
      <c r="B18" s="60"/>
      <c r="C18" s="82" t="n">
        <f aca="false">P18</f>
        <v>15.1762736541797</v>
      </c>
      <c r="D18" s="82" t="n">
        <f aca="false">AB18</f>
        <v>15.0134470904213</v>
      </c>
      <c r="E18" s="82" t="n">
        <f aca="false">IF((SUM(E14:E14)+SUM(E15:E15))*E17&lt;=0,0,SUM(E12:E12)/((SUM(E14:E14)+SUM(E15:E15))*E17))</f>
        <v>13.5904986956921</v>
      </c>
      <c r="F18" s="82" t="n">
        <f aca="false">IF((SUM(E14:F14)+SUM(E15:F15))*F17&lt;=0,0,SUM(E12:F12)/((SUM(E14:F14)+SUM(E15:F15))*F17))</f>
        <v>15.8112563222293</v>
      </c>
      <c r="G18" s="82" t="n">
        <f aca="false">IF((SUM(E14:G14)+SUM(E15:G15))*G17&lt;=0,0,SUM(E12:G12)/((SUM(E14:G14)+SUM(E15:G15))*G17))</f>
        <v>15.3573782505378</v>
      </c>
      <c r="H18" s="82" t="n">
        <f aca="false">IF((SUM(F14:H14)+SUM(F15:H15))*H17&lt;=0,0,SUM(F12:H12)/((SUM(F14:H14)+SUM(F15:H15))*H17))</f>
        <v>14.1605427994466</v>
      </c>
      <c r="I18" s="82" t="n">
        <f aca="false">IF((SUM(G14:I14)+SUM(G15:I15))*I17&lt;=0,0,SUM(G12:I12)/((SUM(G14:I14)+SUM(G15:I15))*I17))</f>
        <v>15.0153008965187</v>
      </c>
      <c r="J18" s="82" t="n">
        <f aca="false">IF((SUM(H14:J14)+SUM(H15:J15))*J17&lt;=0,0,SUM(H12:J12)/((SUM(H14:J14)+SUM(H15:J15))*J17))</f>
        <v>16.1098103905428</v>
      </c>
      <c r="K18" s="82" t="n">
        <f aca="false">IF((SUM(I14:K14)+SUM(I15:K15))*K17&lt;=0,0,SUM(I12:K12)/((SUM(I14:K14)+SUM(I15:K15))*K17))</f>
        <v>17.7143532068593</v>
      </c>
      <c r="L18" s="82" t="n">
        <f aca="false">IF((SUM(J14:L14)+SUM(J15:L15))*L17&lt;=0,0,SUM(J12:L12)/((SUM(J14:L14)+SUM(J15:L15))*L17))</f>
        <v>16.5668906227207</v>
      </c>
      <c r="M18" s="82" t="n">
        <f aca="false">IF((SUM(K14:M14)+SUM(K15:M15))*M17&lt;=0,0,SUM(K12:M12)/((SUM(K14:M14)+SUM(K15:M15))*M17))</f>
        <v>15.9629990519327</v>
      </c>
      <c r="N18" s="82" t="n">
        <f aca="false">IF((SUM(L14:N14)+SUM(L15:N15))*N17&lt;=0,0,SUM(L12:N12)/((SUM(L14:N14)+SUM(L15:N15))*N17))</f>
        <v>17.1347697755836</v>
      </c>
      <c r="O18" s="82" t="n">
        <f aca="false">IF((SUM(M14:O14)+SUM(M15:O15))*O17&lt;=0,0,SUM(M12:O12)/((SUM(M14:O14)+SUM(M15:O15))*O17))</f>
        <v>15.3964982968439</v>
      </c>
      <c r="P18" s="82" t="n">
        <f aca="false">IF((SUM(N14:P14)+SUM(N15:P15))*P17&lt;=0,0,SUM(N12:P12)/((SUM(N14:P14)+SUM(N15:P15))*P17))</f>
        <v>15.1762736541797</v>
      </c>
      <c r="Q18" s="82" t="n">
        <f aca="false">IF((SUM(O14:Q14)+SUM(O15:Q15))*Q17&lt;=0,0,SUM(O12:Q12)/((SUM(O14:Q14)+SUM(O15:Q15))*Q17))</f>
        <v>14.406165571086</v>
      </c>
      <c r="R18" s="82" t="n">
        <f aca="false">IF((SUM(P14:R14)+SUM(P15:R15))*R17&lt;=0,0,SUM(P12:R12)/((SUM(P14:R14)+SUM(P15:R15))*R17))</f>
        <v>15.2359996751012</v>
      </c>
      <c r="S18" s="82" t="n">
        <f aca="false">IF((SUM(Q14:S14)+SUM(Q15:S15))*S17&lt;=0,0,SUM(Q12:S12)/((SUM(Q14:S14)+SUM(Q15:S15))*S17))</f>
        <v>15.2365030561373</v>
      </c>
      <c r="T18" s="82" t="n">
        <f aca="false">IF((SUM(R14:T14)+SUM(R15:T15))*T17&lt;=0,0,SUM(R12:T12)/((SUM(R14:T14)+SUM(R15:T15))*T17))</f>
        <v>15.7671570043232</v>
      </c>
      <c r="U18" s="82" t="n">
        <f aca="false">IF((SUM(S14:U14)+SUM(S15:U15))*U17&lt;=0,0,SUM(S12:U12)/((SUM(S14:U14)+SUM(S15:U15))*U17))</f>
        <v>16.88454767486</v>
      </c>
      <c r="V18" s="82" t="n">
        <f aca="false">IF((SUM(T14:V14)+SUM(T15:V15))*V17&lt;=0,0,SUM(T12:V12)/((SUM(T14:V14)+SUM(T15:V15))*V17))</f>
        <v>17.0307191603568</v>
      </c>
      <c r="W18" s="82" t="n">
        <f aca="false">IF((SUM(U14:W14)+SUM(U15:W15))*W17&lt;=0,0,SUM(U12:W12)/((SUM(U14:W14)+SUM(U15:W15))*W17))</f>
        <v>17.4456889977712</v>
      </c>
      <c r="X18" s="82" t="n">
        <f aca="false">IF((SUM(V14:X14)+SUM(V15:X15))*X17&lt;=0,0,SUM(V12:X12)/((SUM(V14:X14)+SUM(V15:X15))*X17))</f>
        <v>16.6988721555443</v>
      </c>
      <c r="Y18" s="82" t="n">
        <f aca="false">IF((SUM(W14:Y14)+SUM(W15:Y15))*Y17&lt;=0,0,SUM(W12:Y12)/((SUM(W14:Y14)+SUM(W15:Y15))*Y17))</f>
        <v>16.0495995879363</v>
      </c>
      <c r="Z18" s="82" t="n">
        <f aca="false">IF((SUM(X14:Z14)+SUM(X15:Z15))*Z17&lt;=0,0,SUM(X12:Z12)/((SUM(X14:Z14)+SUM(X15:Z15))*Z17))</f>
        <v>15.269468122045</v>
      </c>
      <c r="AA18" s="82" t="n">
        <f aca="false">IF((SUM(Y14:AA14)+SUM(Y15:AA15))*AA17&lt;=0,0,SUM(Y12:AA12)/((SUM(Y14:AA14)+SUM(Y15:AA15))*AA17))</f>
        <v>14.3454003535399</v>
      </c>
      <c r="AB18" s="82" t="n">
        <f aca="false">IF((SUM(Z14:AB14)+SUM(Z15:AB15))*AB17&lt;=0,0,SUM(Z12:AB12)/((SUM(Z14:AB14)+SUM(Z15:AB15))*AB17))</f>
        <v>15.0134470904213</v>
      </c>
    </row>
    <row r="19" customFormat="false" ht="15" hidden="false" customHeight="false" outlineLevel="0" collapsed="false">
      <c r="A19" s="22" t="s">
        <v>809</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false" outlineLevel="0" collapsed="false">
      <c r="A20" s="28" t="s">
        <v>731</v>
      </c>
      <c r="B20" s="63" t="s">
        <v>45</v>
      </c>
      <c r="E20" s="65" t="n">
        <f aca="false">ARR_Bridge!E54</f>
        <v>452847.26</v>
      </c>
      <c r="F20" s="65" t="n">
        <f aca="false">ARR_Bridge!F54</f>
        <v>472682.76</v>
      </c>
      <c r="G20" s="65" t="n">
        <f aca="false">ARR_Bridge!G54</f>
        <v>471295.5</v>
      </c>
      <c r="H20" s="65" t="n">
        <f aca="false">ARR_Bridge!H54</f>
        <v>482200.14</v>
      </c>
      <c r="I20" s="65" t="n">
        <f aca="false">ARR_Bridge!I54</f>
        <v>502221.96</v>
      </c>
      <c r="J20" s="65" t="n">
        <f aca="false">ARR_Bridge!J54</f>
        <v>506436.63</v>
      </c>
      <c r="K20" s="65" t="n">
        <f aca="false">ARR_Bridge!K54</f>
        <v>513884.04</v>
      </c>
      <c r="L20" s="65" t="n">
        <f aca="false">ARR_Bridge!L54</f>
        <v>529267.29</v>
      </c>
      <c r="M20" s="65" t="n">
        <f aca="false">ARR_Bridge!M54</f>
        <v>533473.36</v>
      </c>
      <c r="N20" s="65" t="n">
        <f aca="false">ARR_Bridge!N54</f>
        <v>542423.62418892</v>
      </c>
      <c r="O20" s="65" t="n">
        <f aca="false">ARR_Bridge!O54</f>
        <v>551568.568255512</v>
      </c>
      <c r="P20" s="65" t="n">
        <f aca="false">ARR_Bridge!P54</f>
        <v>563535.391502256</v>
      </c>
      <c r="Q20" s="65" t="n">
        <f aca="false">ARR_Bridge!Q54</f>
        <v>574062.633926032</v>
      </c>
      <c r="R20" s="65" t="n">
        <f aca="false">ARR_Bridge!R54</f>
        <v>594323.093101357</v>
      </c>
      <c r="S20" s="65" t="n">
        <f aca="false">ARR_Bridge!S54</f>
        <v>605590.298865999</v>
      </c>
      <c r="T20" s="65" t="n">
        <f aca="false">ARR_Bridge!T54</f>
        <v>616824.736268837</v>
      </c>
      <c r="U20" s="65" t="n">
        <f aca="false">ARR_Bridge!U54</f>
        <v>627643.771621827</v>
      </c>
      <c r="V20" s="65" t="n">
        <f aca="false">ARR_Bridge!V54</f>
        <v>635477.032242298</v>
      </c>
      <c r="W20" s="65" t="n">
        <f aca="false">ARR_Bridge!W54</f>
        <v>646282.024410461</v>
      </c>
      <c r="X20" s="65" t="n">
        <f aca="false">ARR_Bridge!X54</f>
        <v>655955.613871223</v>
      </c>
      <c r="Y20" s="65" t="n">
        <f aca="false">ARR_Bridge!Y54</f>
        <v>663792.209589036</v>
      </c>
      <c r="Z20" s="65" t="n">
        <f aca="false">ARR_Bridge!Z54</f>
        <v>676100.658698874</v>
      </c>
      <c r="AA20" s="65" t="n">
        <f aca="false">ARR_Bridge!AA54</f>
        <v>688634.239087364</v>
      </c>
      <c r="AB20" s="65" t="n">
        <f aca="false">ARR_Bridge!AB54</f>
        <v>700227.26126532</v>
      </c>
    </row>
    <row r="21" customFormat="false" ht="15" hidden="false" customHeight="false" outlineLevel="0" collapsed="false">
      <c r="A21" s="28" t="s">
        <v>810</v>
      </c>
      <c r="B21" s="63" t="s">
        <v>45</v>
      </c>
      <c r="C21" s="64" t="n">
        <f aca="false">SUM(E21:P21)</f>
        <v>-101459.02804338</v>
      </c>
      <c r="D21" s="64" t="n">
        <f aca="false">SUM(Q21:AB21)</f>
        <v>-113080.292755842</v>
      </c>
      <c r="E21" s="65" t="n">
        <f aca="false">ARR_Bridge!E59+ARR_Bridge!E58</f>
        <v>-9429.37</v>
      </c>
      <c r="F21" s="65" t="n">
        <f aca="false">ARR_Bridge!F59+ARR_Bridge!F58</f>
        <v>-15854.31</v>
      </c>
      <c r="G21" s="65" t="n">
        <f aca="false">ARR_Bridge!G59+ARR_Bridge!G58</f>
        <v>-8848.48</v>
      </c>
      <c r="H21" s="65" t="n">
        <f aca="false">ARR_Bridge!H59+ARR_Bridge!H58</f>
        <v>-6133.96</v>
      </c>
      <c r="I21" s="65" t="n">
        <f aca="false">ARR_Bridge!I59+ARR_Bridge!I58</f>
        <v>-8885.07</v>
      </c>
      <c r="J21" s="65" t="n">
        <f aca="false">ARR_Bridge!J59+ARR_Bridge!J58</f>
        <v>-8452.4</v>
      </c>
      <c r="K21" s="65" t="n">
        <f aca="false">ARR_Bridge!K59+ARR_Bridge!K58</f>
        <v>-5648.92</v>
      </c>
      <c r="L21" s="65" t="n">
        <f aca="false">ARR_Bridge!L59+ARR_Bridge!L58</f>
        <v>-8606.64</v>
      </c>
      <c r="M21" s="65" t="n">
        <f aca="false">ARR_Bridge!M59+ARR_Bridge!M58</f>
        <v>-7687.994778</v>
      </c>
      <c r="N21" s="65" t="n">
        <f aca="false">ARR_Bridge!N59+ARR_Bridge!N58</f>
        <v>-6901.7667430464</v>
      </c>
      <c r="O21" s="65" t="n">
        <f aca="false">ARR_Bridge!O59+ARR_Bridge!O58</f>
        <v>-8207.30568877547</v>
      </c>
      <c r="P21" s="65" t="n">
        <f aca="false">ARR_Bridge!P59+ARR_Bridge!P58</f>
        <v>-6802.81083355807</v>
      </c>
      <c r="Q21" s="65" t="n">
        <f aca="false">ARR_Bridge!Q59+ARR_Bridge!Q58</f>
        <v>-13836.1052618579</v>
      </c>
      <c r="R21" s="65" t="n">
        <f aca="false">ARR_Bridge!R59+ARR_Bridge!R58</f>
        <v>-7616.32558870591</v>
      </c>
      <c r="S21" s="65" t="n">
        <f aca="false">ARR_Bridge!S59+ARR_Bridge!S58</f>
        <v>-9924.38349772502</v>
      </c>
      <c r="T21" s="65" t="n">
        <f aca="false">ARR_Bridge!T59+ARR_Bridge!T58</f>
        <v>-9394.6330129503</v>
      </c>
      <c r="U21" s="65" t="n">
        <f aca="false">ARR_Bridge!U59+ARR_Bridge!U58</f>
        <v>-8867.43877036172</v>
      </c>
      <c r="V21" s="65" t="n">
        <f aca="false">ARR_Bridge!V59+ARR_Bridge!V58</f>
        <v>-8900.05341906676</v>
      </c>
      <c r="W21" s="65" t="n">
        <f aca="false">ARR_Bridge!W59+ARR_Bridge!W58</f>
        <v>-9394.74251681409</v>
      </c>
      <c r="X21" s="65" t="n">
        <f aca="false">ARR_Bridge!X59+ARR_Bridge!X58</f>
        <v>-8035.59037289549</v>
      </c>
      <c r="Y21" s="65" t="n">
        <f aca="false">ARR_Bridge!Y59+ARR_Bridge!Y58</f>
        <v>-9714.12458656156</v>
      </c>
      <c r="Z21" s="65" t="n">
        <f aca="false">ARR_Bridge!Z59+ARR_Bridge!Z58</f>
        <v>-8904.8324761799</v>
      </c>
      <c r="AA21" s="65" t="n">
        <f aca="false">ARR_Bridge!AA59+ARR_Bridge!AA58</f>
        <v>-9950.41255734573</v>
      </c>
      <c r="AB21" s="65" t="n">
        <f aca="false">ARR_Bridge!AB59+ARR_Bridge!AB58</f>
        <v>-8541.65069537797</v>
      </c>
    </row>
    <row r="22" customFormat="false" ht="15" hidden="false" customHeight="false" outlineLevel="0" collapsed="false">
      <c r="A22" s="28" t="s">
        <v>811</v>
      </c>
      <c r="B22" s="63"/>
      <c r="C22" s="70" t="n">
        <f aca="false">P22</f>
        <v>0.0165732991474869</v>
      </c>
      <c r="D22" s="70" t="n">
        <f aca="false">AB22</f>
        <v>0.0147145822373191</v>
      </c>
      <c r="E22" s="71" t="n">
        <f aca="false">IF((SUM(E20:E20)+(SUM(History!$D$7:$N$7)+SUM(History!$D$18:$N$18)+SUM(History!$D$30:$N$30)))=0,0,-(SUM(E21:E21)+(SUM(History!$D$12:$N$12)+SUM(History!$D$11:$N$11)+SUM(History!$D$23:$N$23)+SUM(History!$D$22:$N$22)+SUM(History!$D$35:$N$35)+SUM(History!$D$34:$N$34)))/(SUM(E20:E20)+(SUM(History!$D$7:$N$7)+SUM(History!$D$18:$N$18)+SUM(History!$D$30:$N$30))))</f>
        <v>0.0135520554730418</v>
      </c>
      <c r="F22" s="71" t="n">
        <f aca="false">IF((SUM(E20:F20)+(SUM(History!$E$7:$N$7)+SUM(History!$E$18:$N$18)+SUM(History!$E$30:$N$30)))=0,0,-(SUM(E21:F21)+(SUM(History!$E$12:$N$12)+SUM(History!$E$11:$N$11)+SUM(History!$E$23:$N$23)+SUM(History!$E$22:$N$22)+SUM(History!$E$35:$N$35)+SUM(History!$E$34:$N$34)))/(SUM(E20:F20)+(SUM(History!$E$7:$N$7)+SUM(History!$E$18:$N$18)+SUM(History!$E$30:$N$30))))</f>
        <v>0.0155363181361015</v>
      </c>
      <c r="G22" s="71" t="n">
        <f aca="false">IF((SUM(E20:G20)+(SUM(History!$F$7:$N$7)+SUM(History!$F$18:$N$18)+SUM(History!$F$30:$N$30)))=0,0,-(SUM(E21:G21)+(SUM(History!$F$12:$N$12)+SUM(History!$F$11:$N$11)+SUM(History!$F$23:$N$23)+SUM(History!$F$22:$N$22)+SUM(History!$F$35:$N$35)+SUM(History!$F$34:$N$34)))/(SUM(E20:G20)+(SUM(History!$F$7:$N$7)+SUM(History!$F$18:$N$18)+SUM(History!$F$30:$N$30))))</f>
        <v>0.0164687976673347</v>
      </c>
      <c r="H22" s="71" t="n">
        <f aca="false">IF((SUM(E20:H20)+(SUM(History!$G$7:$N$7)+SUM(History!$G$18:$N$18)+SUM(History!$G$30:$N$30)))=0,0,-(SUM(E21:H21)+(SUM(History!$G$12:$N$12)+SUM(History!$G$11:$N$11)+SUM(History!$G$23:$N$23)+SUM(History!$G$22:$N$22)+SUM(History!$G$35:$N$35)+SUM(History!$G$34:$N$34)))/(SUM(E20:H20)+(SUM(History!$G$7:$N$7)+SUM(History!$G$18:$N$18)+SUM(History!$G$30:$N$30))))</f>
        <v>0.0158035176966988</v>
      </c>
      <c r="I22" s="71" t="n">
        <f aca="false">IF((SUM(E20:I20)+(SUM(History!$H$7:$N$7)+SUM(History!$H$18:$N$18)+SUM(History!$H$30:$N$30)))=0,0,-(SUM(E21:I21)+(SUM(History!$H$12:$N$12)+SUM(History!$H$11:$N$11)+SUM(History!$H$23:$N$23)+SUM(History!$H$22:$N$22)+SUM(History!$H$35:$N$35)+SUM(History!$H$34:$N$34)))/(SUM(E20:I20)+(SUM(History!$H$7:$N$7)+SUM(History!$H$18:$N$18)+SUM(History!$H$30:$N$30))))</f>
        <v>0.0163010669306407</v>
      </c>
      <c r="J22" s="71" t="n">
        <f aca="false">IF((SUM(E20:J20)+(SUM(History!$I$7:$N$7)+SUM(History!$I$18:$N$18)+SUM(History!$I$30:$N$30)))=0,0,-(SUM(E21:J21)+(SUM(History!$I$12:$N$12)+SUM(History!$I$11:$N$11)+SUM(History!$I$23:$N$23)+SUM(History!$I$22:$N$22)+SUM(History!$I$35:$N$35)+SUM(History!$I$34:$N$34)))/(SUM(E20:J20)+(SUM(History!$I$7:$N$7)+SUM(History!$I$18:$N$18)+SUM(History!$I$30:$N$30))))</f>
        <v>0.0165475494672166</v>
      </c>
      <c r="K22" s="71" t="n">
        <f aca="false">IF((SUM(E20:K20)+(SUM(History!$J$7:$N$7)+SUM(History!$J$18:$N$18)+SUM(History!$J$30:$N$30)))=0,0,-(SUM(E21:K21)+(SUM(History!$J$12:$N$12)+SUM(History!$J$11:$N$11)+SUM(History!$J$23:$N$23)+SUM(History!$J$22:$N$22)+SUM(History!$J$35:$N$35)+SUM(History!$J$34:$N$34)))/(SUM(E20:K20)+(SUM(History!$J$7:$N$7)+SUM(History!$J$18:$N$18)+SUM(History!$J$30:$N$30))))</f>
        <v>0.0163504815595777</v>
      </c>
      <c r="L22" s="71" t="n">
        <f aca="false">IF((SUM(E20:L20)+(SUM(History!$K$7:$N$7)+SUM(History!$K$18:$N$18)+SUM(History!$K$30:$N$30)))=0,0,-(SUM(E21:L21)+(SUM(History!$K$12:$N$12)+SUM(History!$K$11:$N$11)+SUM(History!$K$23:$N$23)+SUM(History!$K$22:$N$22)+SUM(History!$K$35:$N$35)+SUM(History!$K$34:$N$34)))/(SUM(E20:L20)+(SUM(History!$K$7:$N$7)+SUM(History!$K$18:$N$18)+SUM(History!$K$30:$N$30))))</f>
        <v>0.0166320999798479</v>
      </c>
      <c r="M22" s="71" t="n">
        <f aca="false">IF((SUM(E20:M20)+(SUM(History!$L$7:$N$7)+SUM(History!$L$18:$N$18)+SUM(History!$L$30:$N$30)))=0,0,-(SUM(E21:M21)+(SUM(History!$L$12:$N$12)+SUM(History!$L$11:$N$11)+SUM(History!$L$23:$N$23)+SUM(History!$L$22:$N$22)+SUM(History!$L$35:$N$35)+SUM(History!$L$34:$N$34)))/(SUM(E20:M20)+(SUM(History!$L$7:$N$7)+SUM(History!$L$18:$N$18)+SUM(History!$L$30:$N$30))))</f>
        <v>0.0166955595622751</v>
      </c>
      <c r="N22" s="71" t="n">
        <f aca="false">IF((SUM(E20:N20)+(SUM(History!$M$7:$N$7)+SUM(History!$M$18:$N$18)+SUM(History!$M$30:$N$30)))=0,0,-(SUM(E21:N21)+(SUM(History!$M$12:$N$12)+SUM(History!$M$11:$N$11)+SUM(History!$M$23:$N$23)+SUM(History!$M$22:$N$22)+SUM(History!$M$35:$N$35)+SUM(History!$M$34:$N$34)))/(SUM(E20:N20)+(SUM(History!$M$7:$N$7)+SUM(History!$M$18:$N$18)+SUM(History!$M$30:$N$30))))</f>
        <v>0.0162854055281052</v>
      </c>
      <c r="O22" s="71" t="n">
        <f aca="false">IF((SUM(E20:O20)+(SUM(History!$N$7:$N$7)+SUM(History!$N$18:$N$18)+SUM(History!$N$30:$N$30)))=0,0,-(SUM(E21:O21)+(SUM(History!$N$12:$N$12)+SUM(History!$N$11:$N$11)+SUM(History!$N$23:$N$23)+SUM(History!$N$22:$N$22)+SUM(History!$N$35:$N$35)+SUM(History!$N$34:$N$34)))/(SUM(E20:O20)+(SUM(History!$N$7:$N$7)+SUM(History!$N$18:$N$18)+SUM(History!$N$30:$N$30))))</f>
        <v>0.0164414335911003</v>
      </c>
      <c r="P22" s="117" t="n">
        <f aca="false">IF((SUM(E20:P20))=0,0,-(SUM(E21:P21))/(SUM(E20:P20)))</f>
        <v>0.0165732991474869</v>
      </c>
      <c r="Q22" s="117" t="n">
        <f aca="false">IF((SUM(F20:Q20))=0,0,-(SUM(F21:Q21))/(SUM(F20:Q20)))</f>
        <v>0.016957373578988</v>
      </c>
      <c r="R22" s="117" t="n">
        <f aca="false">IF((SUM(G20:R20))=0,0,-(SUM(G21:R21))/(SUM(G20:R20)))</f>
        <v>0.0153389630403232</v>
      </c>
      <c r="S22" s="117" t="n">
        <f aca="false">IF((SUM(H20:S20))=0,0,-(SUM(H21:S21))/(SUM(H20:S20)))</f>
        <v>0.0151875487577481</v>
      </c>
      <c r="T22" s="117" t="n">
        <f aca="false">IF((SUM(I20:T20))=0,0,-(SUM(I21:T21))/(SUM(I20:T20)))</f>
        <v>0.0153708660005513</v>
      </c>
      <c r="U22" s="117" t="n">
        <f aca="false">IF((SUM(J20:U20))=0,0,-(SUM(J21:U21))/(SUM(J20:U20)))</f>
        <v>0.0150830329682772</v>
      </c>
      <c r="V22" s="117" t="n">
        <f aca="false">IF((SUM(K20:V20))=0,0,-(SUM(K21:V21))/(SUM(K20:V20)))</f>
        <v>0.0148654587585618</v>
      </c>
      <c r="W22" s="117" t="n">
        <f aca="false">IF((SUM(L20:W20))=0,0,-(SUM(L21:W21))/(SUM(L20:W20)))</f>
        <v>0.0151186704777043</v>
      </c>
      <c r="X22" s="117" t="n">
        <f aca="false">IF((SUM(M20:X20))=0,0,-(SUM(M21:X21))/(SUM(M20:X20)))</f>
        <v>0.0147707828415649</v>
      </c>
      <c r="Y22" s="117" t="n">
        <f aca="false">IF((SUM(N20:Y20))=0,0,-(SUM(N21:Y21))/(SUM(N20:Y20)))</f>
        <v>0.0147846912817197</v>
      </c>
      <c r="Z22" s="117" t="n">
        <f aca="false">IF((SUM(O20:Z20))=0,0,-(SUM(O21:Z21))/(SUM(O20:Z20)))</f>
        <v>0.0147882928853469</v>
      </c>
      <c r="AA22" s="117" t="n">
        <f aca="false">IF((SUM(P20:AA20))=0,0,-(SUM(P21:AA21))/(SUM(P20:AA20)))</f>
        <v>0.0147506866215963</v>
      </c>
      <c r="AB22" s="117" t="n">
        <f aca="false">IF((SUM(Q20:AB20))=0,0,-(SUM(Q21:AB21))/(SUM(Q20:AB20)))</f>
        <v>0.0147145822373191</v>
      </c>
    </row>
    <row r="23" customFormat="false" ht="15" hidden="false" customHeight="false" outlineLevel="0" collapsed="false">
      <c r="A23" s="28" t="s">
        <v>341</v>
      </c>
      <c r="B23" s="63" t="s">
        <v>45</v>
      </c>
      <c r="C23" s="64" t="n">
        <f aca="false">P23</f>
        <v>558.191044141513</v>
      </c>
      <c r="D23" s="64" t="n">
        <f aca="false">AB23</f>
        <v>619.34164041532</v>
      </c>
      <c r="E23" s="65" t="n">
        <f aca="false">ARR_Bridge!E64</f>
        <v>520.00303630363</v>
      </c>
      <c r="F23" s="65" t="n">
        <f aca="false">ARR_Bridge!F64</f>
        <v>512.835146898803</v>
      </c>
      <c r="G23" s="65" t="n">
        <f aca="false">ARR_Bridge!G64</f>
        <v>512.433730074389</v>
      </c>
      <c r="H23" s="65" t="n">
        <f aca="false">ARR_Bridge!H64</f>
        <v>526.438113207547</v>
      </c>
      <c r="I23" s="65" t="n">
        <f aca="false">ARR_Bridge!I64</f>
        <v>532.530630914827</v>
      </c>
      <c r="J23" s="65" t="n">
        <f aca="false">ARR_Bridge!J64</f>
        <v>538.66251572327</v>
      </c>
      <c r="K23" s="65" t="n">
        <f aca="false">ARR_Bridge!K64</f>
        <v>540.620316649643</v>
      </c>
      <c r="L23" s="65" t="n">
        <f aca="false">ARR_Bridge!L64</f>
        <v>546.03209825998</v>
      </c>
      <c r="M23" s="65" t="n">
        <f aca="false">ARR_Bridge!M64</f>
        <v>546.573588004829</v>
      </c>
      <c r="N23" s="65" t="n">
        <f aca="false">ARR_Bridge!N64</f>
        <v>546.634778311894</v>
      </c>
      <c r="O23" s="65" t="n">
        <f aca="false">ARR_Bridge!O64</f>
        <v>551.606389443006</v>
      </c>
      <c r="P23" s="65" t="n">
        <f aca="false">ARR_Bridge!P64</f>
        <v>558.191044141513</v>
      </c>
      <c r="Q23" s="65" t="n">
        <f aca="false">ARR_Bridge!Q64</f>
        <v>568.393473124715</v>
      </c>
      <c r="R23" s="65" t="n">
        <f aca="false">ARR_Bridge!R64</f>
        <v>571.44630729263</v>
      </c>
      <c r="S23" s="65" t="n">
        <f aca="false">ARR_Bridge!S64</f>
        <v>575.636686636683</v>
      </c>
      <c r="T23" s="65" t="n">
        <f aca="false">ARR_Bridge!T64</f>
        <v>580.292709208608</v>
      </c>
      <c r="U23" s="65" t="n">
        <f aca="false">ARR_Bridge!U64</f>
        <v>582.200445606881</v>
      </c>
      <c r="V23" s="65" t="n">
        <f aca="false">ARR_Bridge!V64</f>
        <v>587.460948813415</v>
      </c>
      <c r="W23" s="65" t="n">
        <f aca="false">ARR_Bridge!W64</f>
        <v>593.744735694927</v>
      </c>
      <c r="X23" s="65" t="n">
        <f aca="false">ARR_Bridge!X64</f>
        <v>601.108935290036</v>
      </c>
      <c r="Y23" s="65" t="n">
        <f aca="false">ARR_Bridge!Y64</f>
        <v>605.120079884089</v>
      </c>
      <c r="Z23" s="65" t="n">
        <f aca="false">ARR_Bridge!Z64</f>
        <v>608.515318052039</v>
      </c>
      <c r="AA23" s="65" t="n">
        <f aca="false">ARR_Bridge!AA64</f>
        <v>613.2079231501</v>
      </c>
      <c r="AB23" s="65" t="n">
        <f aca="false">ARR_Bridge!AB64</f>
        <v>619.34164041532</v>
      </c>
    </row>
    <row r="24" customFormat="false" ht="15" hidden="false" customHeight="false" outlineLevel="0" collapsed="false">
      <c r="A24" s="28" t="s">
        <v>812</v>
      </c>
      <c r="B24" s="63"/>
      <c r="C24" s="64" t="n">
        <f aca="false">P24</f>
        <v>26566.9309559078</v>
      </c>
      <c r="D24" s="64" t="n">
        <f aca="false">AB24</f>
        <v>33577.2667231048</v>
      </c>
      <c r="E24" s="74" t="n">
        <f aca="false">IF(E22&lt;=0,0,E23*E17/E22)</f>
        <v>29971.5739818066</v>
      </c>
      <c r="F24" s="74" t="n">
        <f aca="false">IF(F22&lt;=0,0,F23*F17/F22)</f>
        <v>25744.6574275054</v>
      </c>
      <c r="G24" s="74" t="n">
        <f aca="false">IF(G22&lt;=0,0,G23*G17/G22)</f>
        <v>24331.0121460281</v>
      </c>
      <c r="H24" s="74" t="n">
        <f aca="false">IF(H22&lt;=0,0,H23*H17/H22)</f>
        <v>26089.4440868024</v>
      </c>
      <c r="I24" s="74" t="n">
        <f aca="false">IF(I22&lt;=0,0,I23*I17/I22)</f>
        <v>25596.8637171885</v>
      </c>
      <c r="J24" s="74" t="n">
        <f aca="false">IF(J22&lt;=0,0,J23*J17/J22)</f>
        <v>25350.1361395542</v>
      </c>
      <c r="K24" s="74" t="n">
        <f aca="false">IF(K22&lt;=0,0,K23*K17/K22)</f>
        <v>25700.3894719199</v>
      </c>
      <c r="L24" s="74" t="n">
        <f aca="false">IF(L22&lt;=0,0,L23*L17/L22)</f>
        <v>25556.9848231905</v>
      </c>
      <c r="M24" s="74" t="n">
        <f aca="false">IF(M22&lt;=0,0,M23*M17/M22)</f>
        <v>25672.285310443</v>
      </c>
      <c r="N24" s="74" t="n">
        <f aca="false">IF(N22&lt;=0,0,N23*N17/N22)</f>
        <v>26380.8937261546</v>
      </c>
      <c r="O24" s="74" t="n">
        <f aca="false">IF(O22&lt;=0,0,O23*O17/O22)</f>
        <v>26427.6251274623</v>
      </c>
      <c r="P24" s="74" t="n">
        <f aca="false">IF(P22&lt;=0,0,P23*P17/P22)</f>
        <v>26566.9309559078</v>
      </c>
      <c r="Q24" s="74" t="n">
        <f aca="false">IF(Q22&lt;=0,0,Q23*Q17/Q22)</f>
        <v>26505.3195368959</v>
      </c>
      <c r="R24" s="74" t="n">
        <f aca="false">IF(R22&lt;=0,0,R23*R17/R22)</f>
        <v>29528.9896367178</v>
      </c>
      <c r="S24" s="74" t="n">
        <f aca="false">IF(S22&lt;=0,0,S23*S17/S22)</f>
        <v>29958.705238764</v>
      </c>
      <c r="T24" s="74" t="n">
        <f aca="false">IF(T22&lt;=0,0,T23*T17/T22)</f>
        <v>29794.9975557385</v>
      </c>
      <c r="U24" s="74" t="n">
        <f aca="false">IF(U22&lt;=0,0,U23*U17/U22)</f>
        <v>30312.2249189741</v>
      </c>
      <c r="V24" s="74" t="n">
        <f aca="false">IF(V22&lt;=0,0,V23*V17/V22)</f>
        <v>31033.214990838</v>
      </c>
      <c r="W24" s="74" t="n">
        <f aca="false">IF(W22&lt;=0,0,W23*W17/W22)</f>
        <v>30840.4224673471</v>
      </c>
      <c r="X24" s="74" t="n">
        <f aca="false">IF(X22&lt;=0,0,X23*X17/X22)</f>
        <v>32054.3625094501</v>
      </c>
      <c r="Y24" s="74" t="n">
        <f aca="false">IF(Y22&lt;=0,0,Y23*Y17/Y22)</f>
        <v>32335.101960043</v>
      </c>
      <c r="Z24" s="74" t="n">
        <f aca="false">IF(Z22&lt;=0,0,Z23*Z17/Z22)</f>
        <v>32615.6027558851</v>
      </c>
      <c r="AA24" s="74" t="n">
        <f aca="false">IF(AA22&lt;=0,0,AA23*AA17/AA22)</f>
        <v>33064.0983068659</v>
      </c>
      <c r="AB24" s="74" t="n">
        <f aca="false">IF(AB22&lt;=0,0,AB23*AB17/AB22)</f>
        <v>33577.2667231048</v>
      </c>
    </row>
    <row r="25" customFormat="false" ht="15" hidden="false" customHeight="false" outlineLevel="0" collapsed="false">
      <c r="A25" s="59" t="s">
        <v>356</v>
      </c>
      <c r="B25" s="60"/>
      <c r="C25" s="121" t="n">
        <f aca="false">P25</f>
        <v>4.48798418956861</v>
      </c>
      <c r="D25" s="121" t="n">
        <f aca="false">AB25</f>
        <v>5.01091407242686</v>
      </c>
      <c r="E25" s="121" t="n">
        <f aca="false">IF(E16=0,0,E24/E16)</f>
        <v>5.78516408448575</v>
      </c>
      <c r="F25" s="121" t="n">
        <f aca="false">IF(F16=0,0,F24/F16)</f>
        <v>4.90636211248558</v>
      </c>
      <c r="G25" s="121" t="n">
        <f aca="false">IF(G16=0,0,G24/G16)</f>
        <v>4.69323026838343</v>
      </c>
      <c r="H25" s="121" t="n">
        <f aca="false">IF(H16=0,0,H24/H16)</f>
        <v>4.69705895811096</v>
      </c>
      <c r="I25" s="121" t="n">
        <f aca="false">IF(I16=0,0,I24/I16)</f>
        <v>3.9118219384191</v>
      </c>
      <c r="J25" s="121" t="n">
        <f aca="false">IF(J16=0,0,J24/J16)</f>
        <v>3.64762018392101</v>
      </c>
      <c r="K25" s="121" t="n">
        <f aca="false">IF(K16=0,0,K24/K16)</f>
        <v>3.89651347929347</v>
      </c>
      <c r="L25" s="121" t="n">
        <f aca="false">IF(L16=0,0,L24/L16)</f>
        <v>4.19473418750138</v>
      </c>
      <c r="M25" s="121" t="n">
        <f aca="false">IF(M16=0,0,M24/M16)</f>
        <v>4.34774292801677</v>
      </c>
      <c r="N25" s="121" t="n">
        <f aca="false">IF(N16=0,0,N24/N16)</f>
        <v>4.592681268702</v>
      </c>
      <c r="O25" s="121" t="n">
        <f aca="false">IF(O16=0,0,O24/O16)</f>
        <v>4.84658733614982</v>
      </c>
      <c r="P25" s="121" t="n">
        <f aca="false">IF(P16=0,0,P24/P16)</f>
        <v>4.48798418956861</v>
      </c>
      <c r="Q25" s="121" t="n">
        <f aca="false">IF(Q16=0,0,Q24/Q16)</f>
        <v>4.33462233474116</v>
      </c>
      <c r="R25" s="121" t="n">
        <f aca="false">IF(R16=0,0,R24/R16)</f>
        <v>4.70744654310397</v>
      </c>
      <c r="S25" s="121" t="n">
        <f aca="false">IF(S16=0,0,S24/S16)</f>
        <v>4.84571020777066</v>
      </c>
      <c r="T25" s="121" t="n">
        <f aca="false">IF(T16=0,0,T24/T16)</f>
        <v>4.58982915449278</v>
      </c>
      <c r="U25" s="121" t="n">
        <f aca="false">IF(U16=0,0,U24/U16)</f>
        <v>4.46224667092699</v>
      </c>
      <c r="V25" s="121" t="n">
        <f aca="false">IF(V16=0,0,V24/V16)</f>
        <v>4.46968361046134</v>
      </c>
      <c r="W25" s="121" t="n">
        <f aca="false">IF(W16=0,0,W24/W16)</f>
        <v>4.20057902344681</v>
      </c>
      <c r="X25" s="121" t="n">
        <f aca="false">IF(X16=0,0,X24/X16)</f>
        <v>4.08178011414968</v>
      </c>
      <c r="Y25" s="121" t="n">
        <f aca="false">IF(Y16=0,0,Y24/Y16)</f>
        <v>4.32164360913494</v>
      </c>
      <c r="Z25" s="121" t="n">
        <f aca="false">IF(Z16=0,0,Z24/Z16)</f>
        <v>4.79162274241233</v>
      </c>
      <c r="AA25" s="121" t="n">
        <f aca="false">IF(AA16=0,0,AA24/AA16)</f>
        <v>5.29268835385797</v>
      </c>
      <c r="AB25" s="121" t="n">
        <f aca="false">IF(AB16=0,0,AB24/AB16)</f>
        <v>5.01091407242686</v>
      </c>
    </row>
    <row r="26" customFormat="false" ht="15" hidden="false" customHeight="false" outlineLevel="0" collapsed="false">
      <c r="A26" s="28" t="s">
        <v>9</v>
      </c>
      <c r="B26" s="63" t="s">
        <v>45</v>
      </c>
      <c r="C26" s="66" t="n">
        <f aca="false">P26</f>
        <v>0.922834853027557</v>
      </c>
      <c r="D26" s="66" t="n">
        <f aca="false">AB26</f>
        <v>0.948492162968659</v>
      </c>
      <c r="E26" s="67" t="n">
        <f aca="false">ARR_Bridge!E66</f>
        <v>0.963638219295981</v>
      </c>
      <c r="F26" s="67" t="n">
        <f aca="false">ARR_Bridge!F66</f>
        <v>0.933157916138608</v>
      </c>
      <c r="G26" s="67" t="n">
        <f aca="false">ARR_Bridge!G66</f>
        <v>0.923455267636977</v>
      </c>
      <c r="H26" s="67" t="n">
        <f aca="false">ARR_Bridge!H66</f>
        <v>0.931787199198927</v>
      </c>
      <c r="I26" s="67" t="n">
        <f aca="false">ARR_Bridge!I66</f>
        <v>0.928964391531547</v>
      </c>
      <c r="J26" s="67" t="n">
        <f aca="false">ARR_Bridge!J66</f>
        <v>0.924762237274826</v>
      </c>
      <c r="K26" s="67" t="n">
        <f aca="false">ARR_Bridge!K66</f>
        <v>0.928759395386082</v>
      </c>
      <c r="L26" s="67" t="n">
        <f aca="false">ARR_Bridge!L66</f>
        <v>0.92439209419095</v>
      </c>
      <c r="M26" s="67" t="n">
        <f aca="false">ARR_Bridge!M66</f>
        <v>0.922210764924804</v>
      </c>
      <c r="N26" s="67" t="n">
        <f aca="false">ARR_Bridge!N66</f>
        <v>0.926052560305454</v>
      </c>
      <c r="O26" s="67" t="n">
        <f aca="false">ARR_Bridge!O66</f>
        <v>0.924685143730504</v>
      </c>
      <c r="P26" s="67" t="n">
        <f aca="false">ARR_Bridge!P66</f>
        <v>0.922834853027557</v>
      </c>
      <c r="Q26" s="67" t="n">
        <f aca="false">ARR_Bridge!Q66</f>
        <v>0.923981713663212</v>
      </c>
      <c r="R26" s="67" t="n">
        <f aca="false">ARR_Bridge!R66</f>
        <v>0.943776782212006</v>
      </c>
      <c r="S26" s="67" t="n">
        <f aca="false">ARR_Bridge!S66</f>
        <v>0.944795045380611</v>
      </c>
      <c r="T26" s="67" t="n">
        <f aca="false">ARR_Bridge!T66</f>
        <v>0.944918627168008</v>
      </c>
      <c r="U26" s="67" t="n">
        <f aca="false">ARR_Bridge!U66</f>
        <v>0.945937958846495</v>
      </c>
      <c r="V26" s="67" t="n">
        <f aca="false">ARR_Bridge!V66</f>
        <v>0.947193226482497</v>
      </c>
      <c r="W26" s="67" t="n">
        <f aca="false">ARR_Bridge!W66</f>
        <v>0.945095320057892</v>
      </c>
      <c r="X26" s="67" t="n">
        <f aca="false">ARR_Bridge!X66</f>
        <v>0.948858209253478</v>
      </c>
      <c r="Y26" s="67" t="n">
        <f aca="false">ARR_Bridge!Y66</f>
        <v>0.948097366104503</v>
      </c>
      <c r="Z26" s="67" t="n">
        <f aca="false">ARR_Bridge!Z66</f>
        <v>0.947397871478768</v>
      </c>
      <c r="AA26" s="67" t="n">
        <f aca="false">ARR_Bridge!AA66</f>
        <v>0.948068310667371</v>
      </c>
      <c r="AB26" s="67" t="n">
        <f aca="false">ARR_Bridge!AB66</f>
        <v>0.948492162968659</v>
      </c>
    </row>
    <row r="27" customFormat="false" ht="15" hidden="false" customHeight="false" outlineLevel="0" collapsed="false">
      <c r="A27" s="28" t="s">
        <v>342</v>
      </c>
      <c r="B27" s="63" t="s">
        <v>45</v>
      </c>
      <c r="C27" s="66" t="n">
        <f aca="false">P27</f>
        <v>0.775953092785899</v>
      </c>
      <c r="D27" s="66" t="n">
        <f aca="false">AB27</f>
        <v>0.803017500054859</v>
      </c>
      <c r="E27" s="67" t="n">
        <f aca="false">ARR_Bridge!E67</f>
        <v>0.815573005203055</v>
      </c>
      <c r="F27" s="67" t="n">
        <f aca="false">ARR_Bridge!F67</f>
        <v>0.789413521469122</v>
      </c>
      <c r="G27" s="67" t="n">
        <f aca="false">ARR_Bridge!G67</f>
        <v>0.781530677315805</v>
      </c>
      <c r="H27" s="67" t="n">
        <f aca="false">ARR_Bridge!H67</f>
        <v>0.787418438076672</v>
      </c>
      <c r="I27" s="67" t="n">
        <f aca="false">ARR_Bridge!I67</f>
        <v>0.783213134953572</v>
      </c>
      <c r="J27" s="67" t="n">
        <f aca="false">ARR_Bridge!J67</f>
        <v>0.778130876003816</v>
      </c>
      <c r="K27" s="67" t="n">
        <f aca="false">ARR_Bridge!K67</f>
        <v>0.783611225551284</v>
      </c>
      <c r="L27" s="67" t="n">
        <f aca="false">ARR_Bridge!L67</f>
        <v>0.778307279443373</v>
      </c>
      <c r="M27" s="67" t="n">
        <f aca="false">ARR_Bridge!M67</f>
        <v>0.776921224273213</v>
      </c>
      <c r="N27" s="67" t="n">
        <f aca="false">ARR_Bridge!N67</f>
        <v>0.779104000257139</v>
      </c>
      <c r="O27" s="67" t="n">
        <f aca="false">ARR_Bridge!O67</f>
        <v>0.778574859315625</v>
      </c>
      <c r="P27" s="67" t="n">
        <f aca="false">ARR_Bridge!P67</f>
        <v>0.775953092785899</v>
      </c>
      <c r="Q27" s="67" t="n">
        <f aca="false">ARR_Bridge!Q67</f>
        <v>0.776032103846483</v>
      </c>
      <c r="R27" s="67" t="n">
        <f aca="false">ARR_Bridge!R67</f>
        <v>0.792852299896893</v>
      </c>
      <c r="S27" s="67" t="n">
        <f aca="false">ARR_Bridge!S67</f>
        <v>0.795305570853487</v>
      </c>
      <c r="T27" s="67" t="n">
        <f aca="false">ARR_Bridge!T67</f>
        <v>0.796973522614146</v>
      </c>
      <c r="U27" s="67" t="n">
        <f aca="false">ARR_Bridge!U67</f>
        <v>0.798697965084041</v>
      </c>
      <c r="V27" s="67" t="n">
        <f aca="false">ARR_Bridge!V67</f>
        <v>0.800744195920061</v>
      </c>
      <c r="W27" s="67" t="n">
        <f aca="false">ARR_Bridge!W67</f>
        <v>0.799458228165089</v>
      </c>
      <c r="X27" s="67" t="n">
        <f aca="false">ARR_Bridge!X67</f>
        <v>0.80210979891525</v>
      </c>
      <c r="Y27" s="67" t="n">
        <f aca="false">ARR_Bridge!Y67</f>
        <v>0.801639759969517</v>
      </c>
      <c r="Z27" s="67" t="n">
        <f aca="false">ARR_Bridge!Z67</f>
        <v>0.801296969528037</v>
      </c>
      <c r="AA27" s="67" t="n">
        <f aca="false">ARR_Bridge!AA67</f>
        <v>0.802423317908727</v>
      </c>
      <c r="AB27" s="67" t="n">
        <f aca="false">ARR_Bridge!AB67</f>
        <v>0.803017500054859</v>
      </c>
    </row>
    <row r="28" customFormat="false" ht="15" hidden="false" customHeight="false" outlineLevel="0" collapsed="false">
      <c r="A28" s="22" t="s">
        <v>813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814</v>
      </c>
      <c r="B29" s="63" t="s">
        <v>36</v>
      </c>
      <c r="C29" s="64" t="n">
        <f aca="false">SUM(E29:P29)</f>
        <v>1227131.71661708</v>
      </c>
      <c r="D29" s="64" t="n">
        <f aca="false">SUM(Q29:AB29)</f>
        <v>987133.000008313</v>
      </c>
      <c r="E29" s="65" t="n">
        <f aca="false">-CF!E39</f>
        <v>347751.8184</v>
      </c>
      <c r="F29" s="65" t="n">
        <f aca="false">-CF!F39</f>
        <v>-142969.54465</v>
      </c>
      <c r="G29" s="65" t="n">
        <f aca="false">-CF!G39</f>
        <v>-131805.22795</v>
      </c>
      <c r="H29" s="65" t="n">
        <f aca="false">-CF!H39</f>
        <v>419895.7308</v>
      </c>
      <c r="I29" s="65" t="n">
        <f aca="false">-CF!I39</f>
        <v>-179314.3149</v>
      </c>
      <c r="J29" s="65" t="n">
        <f aca="false">-CF!J39</f>
        <v>151402.03435</v>
      </c>
      <c r="K29" s="65" t="n">
        <f aca="false">-CF!K39</f>
        <v>426274.79795</v>
      </c>
      <c r="L29" s="65" t="n">
        <f aca="false">-CF!L39</f>
        <v>-61007.4940999999</v>
      </c>
      <c r="M29" s="65" t="n">
        <f aca="false">-CF!M39</f>
        <v>31589.4177581627</v>
      </c>
      <c r="N29" s="65" t="n">
        <f aca="false">-CF!N39</f>
        <v>280573.007255694</v>
      </c>
      <c r="O29" s="65" t="n">
        <f aca="false">-CF!O39</f>
        <v>-91381.3205816957</v>
      </c>
      <c r="P29" s="65" t="n">
        <f aca="false">-CF!P39</f>
        <v>176122.812284915</v>
      </c>
      <c r="Q29" s="65" t="n">
        <f aca="false">-CF!Q39</f>
        <v>334247.546540957</v>
      </c>
      <c r="R29" s="65" t="n">
        <f aca="false">-CF!R39</f>
        <v>-1522.96573478042</v>
      </c>
      <c r="S29" s="65" t="n">
        <f aca="false">-CF!S39</f>
        <v>-94883.0458175777</v>
      </c>
      <c r="T29" s="65" t="n">
        <f aca="false">-CF!T39</f>
        <v>114488.111670352</v>
      </c>
      <c r="U29" s="65" t="n">
        <f aca="false">-CF!U39</f>
        <v>-123321.526791308</v>
      </c>
      <c r="V29" s="65" t="n">
        <f aca="false">-CF!V39</f>
        <v>259664.816277116</v>
      </c>
      <c r="W29" s="65" t="n">
        <f aca="false">-CF!W39</f>
        <v>137238.86384851</v>
      </c>
      <c r="X29" s="65" t="n">
        <f aca="false">-CF!X39</f>
        <v>-63049.0255592121</v>
      </c>
      <c r="Y29" s="65" t="n">
        <f aca="false">-CF!Y39</f>
        <v>93896.9205533973</v>
      </c>
      <c r="Z29" s="65" t="n">
        <f aca="false">-CF!Z39</f>
        <v>95579.9652484089</v>
      </c>
      <c r="AA29" s="65" t="n">
        <f aca="false">-CF!AA39</f>
        <v>-38706.9019742314</v>
      </c>
      <c r="AB29" s="65" t="n">
        <f aca="false">-CF!AB39</f>
        <v>273500.241746682</v>
      </c>
    </row>
    <row r="30" customFormat="false" ht="15" hidden="false" customHeight="false" outlineLevel="0" collapsed="false">
      <c r="A30" s="28" t="s">
        <v>338</v>
      </c>
      <c r="B30" s="63" t="s">
        <v>45</v>
      </c>
      <c r="C30" s="64" t="n">
        <f aca="false">SUM(E30:P30)</f>
        <v>1454584.48711238</v>
      </c>
      <c r="D30" s="64" t="n">
        <f aca="false">SUM(Q30:AB30)</f>
        <v>1631990.10487147</v>
      </c>
      <c r="E30" s="65" t="n">
        <f aca="false">ARR_Bridge!E62</f>
        <v>238026</v>
      </c>
      <c r="F30" s="65" t="n">
        <f aca="false">ARR_Bridge!F62</f>
        <v>-16647.1200000001</v>
      </c>
      <c r="G30" s="65" t="n">
        <f aca="false">ARR_Bridge!G62</f>
        <v>130855.68</v>
      </c>
      <c r="H30" s="65" t="n">
        <f aca="false">ARR_Bridge!H62</f>
        <v>240261.84</v>
      </c>
      <c r="I30" s="65" t="n">
        <f aca="false">ARR_Bridge!I62</f>
        <v>50576.0400000005</v>
      </c>
      <c r="J30" s="65" t="n">
        <f aca="false">ARR_Bridge!J62</f>
        <v>89368.919999999</v>
      </c>
      <c r="K30" s="65" t="n">
        <f aca="false">ARR_Bridge!K62</f>
        <v>184599.000000001</v>
      </c>
      <c r="L30" s="65" t="n">
        <f aca="false">ARR_Bridge!L62</f>
        <v>50472.8399999994</v>
      </c>
      <c r="M30" s="65" t="n">
        <f aca="false">ARR_Bridge!M62</f>
        <v>107403.17026704</v>
      </c>
      <c r="N30" s="65" t="n">
        <f aca="false">ARR_Bridge!N62</f>
        <v>109739.328799099</v>
      </c>
      <c r="O30" s="65" t="n">
        <f aca="false">ARR_Bridge!O62</f>
        <v>143601.878960931</v>
      </c>
      <c r="P30" s="65" t="n">
        <f aca="false">ARR_Bridge!P62</f>
        <v>126326.909085314</v>
      </c>
      <c r="Q30" s="65" t="n">
        <f aca="false">ARR_Bridge!Q62</f>
        <v>243125.510103899</v>
      </c>
      <c r="R30" s="65" t="n">
        <f aca="false">ARR_Bridge!R62</f>
        <v>135206.4691757</v>
      </c>
      <c r="S30" s="65" t="n">
        <f aca="false">ARR_Bridge!S62</f>
        <v>134813.248834065</v>
      </c>
      <c r="T30" s="65" t="n">
        <f aca="false">ARR_Bridge!T62</f>
        <v>129828.424235871</v>
      </c>
      <c r="U30" s="65" t="n">
        <f aca="false">ARR_Bridge!U62</f>
        <v>93999.1274456573</v>
      </c>
      <c r="V30" s="65" t="n">
        <f aca="false">ARR_Bridge!V62</f>
        <v>129659.906017955</v>
      </c>
      <c r="W30" s="65" t="n">
        <f aca="false">ARR_Bridge!W62</f>
        <v>116083.073529149</v>
      </c>
      <c r="X30" s="65" t="n">
        <f aca="false">ARR_Bridge!X62</f>
        <v>94039.1486137519</v>
      </c>
      <c r="Y30" s="65" t="n">
        <f aca="false">ARR_Bridge!Y62</f>
        <v>147701.389318055</v>
      </c>
      <c r="Z30" s="65" t="n">
        <f aca="false">ARR_Bridge!Z62</f>
        <v>150402.964661879</v>
      </c>
      <c r="AA30" s="65" t="n">
        <f aca="false">ARR_Bridge!AA62</f>
        <v>139116.26613547</v>
      </c>
      <c r="AB30" s="65" t="n">
        <f aca="false">ARR_Bridge!AB62</f>
        <v>118014.576800019</v>
      </c>
    </row>
    <row r="31" customFormat="false" ht="15" hidden="false" customHeight="false" outlineLevel="0" collapsed="false">
      <c r="A31" s="28" t="s">
        <v>815</v>
      </c>
      <c r="B31" s="63" t="s">
        <v>816</v>
      </c>
      <c r="C31" s="64" t="n">
        <f aca="false">P31</f>
        <v>1227131.71661708</v>
      </c>
      <c r="D31" s="64" t="n">
        <f aca="false">AB31</f>
        <v>987133.000008313</v>
      </c>
      <c r="E31" s="65" t="n">
        <f aca="false">SUM(E29:E29)-SUM(History!$D$44:$N$44)</f>
        <v>2722751.8184</v>
      </c>
      <c r="F31" s="65" t="n">
        <f aca="false">SUM(E29:F29)-SUM(History!$E$44:$N$44)</f>
        <v>2365782.27375</v>
      </c>
      <c r="G31" s="65" t="n">
        <f aca="false">SUM(E29:G29)-SUM(History!$F$44:$N$44)</f>
        <v>2035977.0458</v>
      </c>
      <c r="H31" s="65" t="n">
        <f aca="false">SUM(E29:H29)-SUM(History!$G$44:$N$44)</f>
        <v>2219872.7766</v>
      </c>
      <c r="I31" s="65" t="n">
        <f aca="false">SUM(E29:I29)-SUM(History!$H$44:$N$44)</f>
        <v>1835558.4617</v>
      </c>
      <c r="J31" s="65" t="n">
        <f aca="false">SUM(E29:J29)-SUM(History!$I$44:$N$44)</f>
        <v>1745960.49605</v>
      </c>
      <c r="K31" s="65" t="n">
        <f aca="false">SUM(E29:K29)-SUM(History!$J$44:$N$44)</f>
        <v>1944235.294</v>
      </c>
      <c r="L31" s="65" t="n">
        <f aca="false">SUM(E29:L29)-SUM(History!$K$44:$N$44)</f>
        <v>1707227.7999</v>
      </c>
      <c r="M31" s="65" t="n">
        <f aca="false">SUM(E29:M29)-SUM(History!$L$44:$N$44)</f>
        <v>1519817.21765816</v>
      </c>
      <c r="N31" s="65" t="n">
        <f aca="false">SUM(E29:N29)-SUM(History!$M$44:$N$44)</f>
        <v>1591390.22491386</v>
      </c>
      <c r="O31" s="65" t="n">
        <f aca="false">SUM(E29:O29)-SUM(History!$N$44:$N$44)</f>
        <v>1313008.90433216</v>
      </c>
      <c r="P31" s="74" t="n">
        <f aca="false">SUM(E29:P29)</f>
        <v>1227131.71661708</v>
      </c>
      <c r="Q31" s="74" t="n">
        <f aca="false">SUM(F29:Q29)</f>
        <v>1213627.44475803</v>
      </c>
      <c r="R31" s="74" t="n">
        <f aca="false">SUM(G29:R29)</f>
        <v>1355074.02367325</v>
      </c>
      <c r="S31" s="74" t="n">
        <f aca="false">SUM(H29:S29)</f>
        <v>1391996.20580568</v>
      </c>
      <c r="T31" s="74" t="n">
        <f aca="false">SUM(I29:T29)</f>
        <v>1086588.58667603</v>
      </c>
      <c r="U31" s="74" t="n">
        <f aca="false">SUM(J29:U29)</f>
        <v>1142581.37478472</v>
      </c>
      <c r="V31" s="74" t="n">
        <f aca="false">SUM(K29:V29)</f>
        <v>1250844.15671184</v>
      </c>
      <c r="W31" s="74" t="n">
        <f aca="false">SUM(L29:W29)</f>
        <v>961808.222610345</v>
      </c>
      <c r="X31" s="74" t="n">
        <f aca="false">SUM(M29:X29)</f>
        <v>959766.691151133</v>
      </c>
      <c r="Y31" s="74" t="n">
        <f aca="false">SUM(N29:Y29)</f>
        <v>1022074.19394637</v>
      </c>
      <c r="Z31" s="74" t="n">
        <f aca="false">SUM(O29:Z29)</f>
        <v>837081.151939082</v>
      </c>
      <c r="AA31" s="74" t="n">
        <f aca="false">SUM(P29:AA29)</f>
        <v>889755.570546547</v>
      </c>
      <c r="AB31" s="74" t="n">
        <f aca="false">SUM(Q29:AB29)</f>
        <v>987133.000008313</v>
      </c>
    </row>
    <row r="32" customFormat="false" ht="15" hidden="false" customHeight="false" outlineLevel="0" collapsed="false">
      <c r="A32" s="28" t="s">
        <v>817</v>
      </c>
      <c r="B32" s="63" t="s">
        <v>818</v>
      </c>
      <c r="C32" s="64" t="n">
        <f aca="false">P32</f>
        <v>1454584.48711238</v>
      </c>
      <c r="D32" s="64" t="n">
        <f aca="false">AB32</f>
        <v>1631990.10487147</v>
      </c>
      <c r="E32" s="65" t="n">
        <f aca="false">12*(ARR_Bridge!E60-(History!$C$13+History!$C$24+History!$C$36))</f>
        <v>1325392.8</v>
      </c>
      <c r="F32" s="65" t="n">
        <f aca="false">12*(ARR_Bridge!F60-(History!$D$13+History!$D$24+History!$D$36))</f>
        <v>1193543.28</v>
      </c>
      <c r="G32" s="65" t="n">
        <f aca="false">12*(ARR_Bridge!G60-(History!$E$13+History!$E$24+History!$E$36))</f>
        <v>1137281.76</v>
      </c>
      <c r="H32" s="65" t="n">
        <f aca="false">12*(ARR_Bridge!H60-(History!$F$13+History!$F$24+History!$F$36))</f>
        <v>1357242</v>
      </c>
      <c r="I32" s="65" t="n">
        <f aca="false">12*(ARR_Bridge!I60-(History!$G$13+History!$G$24+History!$G$36))</f>
        <v>1252182.84</v>
      </c>
      <c r="J32" s="65" t="n">
        <f aca="false">12*(ARR_Bridge!J60-(History!$H$13+History!$H$24+History!$H$36))</f>
        <v>1287399.6</v>
      </c>
      <c r="K32" s="65" t="n">
        <f aca="false">12*(ARR_Bridge!K60-(History!$I$13+History!$I$24+History!$I$36))</f>
        <v>1310728.08</v>
      </c>
      <c r="L32" s="65" t="n">
        <f aca="false">12*(ARR_Bridge!L60-(History!$J$13+History!$J$24+History!$J$36))</f>
        <v>1298718.72</v>
      </c>
      <c r="M32" s="65" t="n">
        <f aca="false">12*(ARR_Bridge!M60-(History!$K$13+History!$K$24+History!$K$36))</f>
        <v>1321280.69026704</v>
      </c>
      <c r="N32" s="65" t="n">
        <f aca="false">12*(ARR_Bridge!N60-(History!$L$13+History!$L$24+History!$L$36))</f>
        <v>1411052.73906614</v>
      </c>
      <c r="O32" s="65" t="n">
        <f aca="false">12*(ARR_Bridge!O60-(History!$M$13+History!$M$24+History!$M$36))</f>
        <v>1412549.41802707</v>
      </c>
      <c r="P32" s="65" t="n">
        <f aca="false">12*(ARR_Bridge!P60-(History!$N$13+History!$N$24+History!$N$36))</f>
        <v>1454584.48711238</v>
      </c>
      <c r="Q32" s="65" t="n">
        <f aca="false">12*(ARR_Bridge!Q60-ARR_Bridge!E60)</f>
        <v>1459683.99721628</v>
      </c>
      <c r="R32" s="65" t="n">
        <f aca="false">12*(ARR_Bridge!R60-ARR_Bridge!F60)</f>
        <v>1611537.58639198</v>
      </c>
      <c r="S32" s="65" t="n">
        <f aca="false">12*(ARR_Bridge!S60-ARR_Bridge!G60)</f>
        <v>1615495.15522605</v>
      </c>
      <c r="T32" s="65" t="n">
        <f aca="false">12*(ARR_Bridge!T60-ARR_Bridge!H60)</f>
        <v>1505061.73946192</v>
      </c>
      <c r="U32" s="65" t="n">
        <f aca="false">12*(ARR_Bridge!U60-ARR_Bridge!I60)</f>
        <v>1548484.82690757</v>
      </c>
      <c r="V32" s="65" t="n">
        <f aca="false">12*(ARR_Bridge!V60-ARR_Bridge!J60)</f>
        <v>1588775.81292553</v>
      </c>
      <c r="W32" s="65" t="n">
        <f aca="false">12*(ARR_Bridge!W60-ARR_Bridge!K60)</f>
        <v>1520259.88645468</v>
      </c>
      <c r="X32" s="65" t="n">
        <f aca="false">12*(ARR_Bridge!X60-ARR_Bridge!L60)</f>
        <v>1563826.19506843</v>
      </c>
      <c r="Y32" s="65" t="n">
        <f aca="false">12*(ARR_Bridge!Y60-ARR_Bridge!M60)</f>
        <v>1604124.41411945</v>
      </c>
      <c r="Z32" s="65" t="n">
        <f aca="false">12*(ARR_Bridge!Z60-ARR_Bridge!N60)</f>
        <v>1644788.04998223</v>
      </c>
      <c r="AA32" s="65" t="n">
        <f aca="false">12*(ARR_Bridge!AA60-ARR_Bridge!O60)</f>
        <v>1640302.43715676</v>
      </c>
      <c r="AB32" s="65" t="n">
        <f aca="false">12*(ARR_Bridge!AB60-ARR_Bridge!P60)</f>
        <v>1631990.10487147</v>
      </c>
    </row>
    <row r="33" customFormat="false" ht="15" hidden="false" customHeight="false" outlineLevel="0" collapsed="false">
      <c r="A33" s="59" t="s">
        <v>819</v>
      </c>
      <c r="B33" s="60"/>
      <c r="C33" s="121" t="n">
        <f aca="false">P33</f>
        <v>0.843630416445014</v>
      </c>
      <c r="D33" s="121" t="n">
        <f aca="false">AB33</f>
        <v>0.604864574277585</v>
      </c>
      <c r="E33" s="121" t="n">
        <f aca="false">IF(OR(E32&lt;=0,E31&lt;=0),0,E31/E32)</f>
        <v>2.05429803028959</v>
      </c>
      <c r="F33" s="121" t="n">
        <f aca="false">IF(OR(F32&lt;=0,F31&lt;=0),0,F31/F32)</f>
        <v>1.98215038649457</v>
      </c>
      <c r="G33" s="121" t="n">
        <f aca="false">IF(OR(G32&lt;=0,G31&lt;=0),0,G31/G32)</f>
        <v>1.7902133995361</v>
      </c>
      <c r="H33" s="121" t="n">
        <f aca="false">IF(OR(H32&lt;=0,H31&lt;=0),0,H31/H32)</f>
        <v>1.63557624697733</v>
      </c>
      <c r="I33" s="121" t="n">
        <f aca="false">IF(OR(I32&lt;=0,I31&lt;=0),0,I31/I32)</f>
        <v>1.46588693205538</v>
      </c>
      <c r="J33" s="121" t="n">
        <f aca="false">IF(OR(J32&lt;=0,J31&lt;=0),0,J31/J32)</f>
        <v>1.35619157878409</v>
      </c>
      <c r="K33" s="121" t="n">
        <f aca="false">IF(OR(K32&lt;=0,K31&lt;=0),0,K31/K32)</f>
        <v>1.48332466792044</v>
      </c>
      <c r="L33" s="121" t="n">
        <f aca="false">IF(OR(L32&lt;=0,L31&lt;=0),0,L31/L32)</f>
        <v>1.31454777205337</v>
      </c>
      <c r="M33" s="121" t="n">
        <f aca="false">IF(OR(M32&lt;=0,M31&lt;=0),0,M31/M32)</f>
        <v>1.15026067424856</v>
      </c>
      <c r="N33" s="121" t="n">
        <f aca="false">IF(OR(N32&lt;=0,N31&lt;=0),0,N31/N32)</f>
        <v>1.12780350503913</v>
      </c>
      <c r="O33" s="121" t="n">
        <f aca="false">IF(OR(O32&lt;=0,O31&lt;=0),0,O31/O32)</f>
        <v>0.929531305294835</v>
      </c>
      <c r="P33" s="121" t="n">
        <f aca="false">IF(OR(P32&lt;=0,P31&lt;=0),0,P31/P32)</f>
        <v>0.843630416445014</v>
      </c>
      <c r="Q33" s="121" t="n">
        <f aca="false">IF(OR(Q32&lt;=0,Q31&lt;=0),0,Q31/Q32)</f>
        <v>0.831431629772269</v>
      </c>
      <c r="R33" s="121" t="n">
        <f aca="false">IF(OR(R32&lt;=0,R31&lt;=0),0,R31/R32)</f>
        <v>0.840857846019642</v>
      </c>
      <c r="S33" s="121" t="n">
        <f aca="false">IF(OR(S32&lt;=0,S31&lt;=0),0,S31/S32)</f>
        <v>0.86165297450917</v>
      </c>
      <c r="T33" s="121" t="n">
        <f aca="false">IF(OR(T32&lt;=0,T31&lt;=0),0,T31/T32)</f>
        <v>0.721956155143842</v>
      </c>
      <c r="U33" s="121" t="n">
        <f aca="false">IF(OR(U32&lt;=0,U31&lt;=0),0,U31/U32)</f>
        <v>0.737870565426547</v>
      </c>
      <c r="V33" s="121" t="n">
        <f aca="false">IF(OR(V32&lt;=0,V31&lt;=0),0,V31/V32)</f>
        <v>0.787300603732482</v>
      </c>
      <c r="W33" s="121" t="n">
        <f aca="false">IF(OR(W32&lt;=0,W31&lt;=0),0,W31/W32)</f>
        <v>0.632660396541363</v>
      </c>
      <c r="X33" s="121" t="n">
        <f aca="false">IF(OR(X32&lt;=0,X31&lt;=0),0,X31/X32)</f>
        <v>0.613729770084287</v>
      </c>
      <c r="Y33" s="121" t="n">
        <f aca="false">IF(OR(Y32&lt;=0,Y31&lt;=0),0,Y31/Y32)</f>
        <v>0.637153942019776</v>
      </c>
      <c r="Z33" s="121" t="n">
        <f aca="false">IF(OR(Z32&lt;=0,Z31&lt;=0),0,Z31/Z32)</f>
        <v>0.508929495169988</v>
      </c>
      <c r="AA33" s="121" t="n">
        <f aca="false">IF(OR(AA32&lt;=0,AA31&lt;=0),0,AA31/AA32)</f>
        <v>0.542433852679518</v>
      </c>
      <c r="AB33" s="121" t="n">
        <f aca="false">IF(OR(AB32&lt;=0,AB31&lt;=0),0,AB31/AB32)</f>
        <v>0.604864574277585</v>
      </c>
    </row>
    <row r="34" customFormat="false" ht="15" hidden="false" customHeight="false" outlineLevel="0" collapsed="false">
      <c r="A34" s="28" t="s">
        <v>339</v>
      </c>
      <c r="B34" s="63" t="s">
        <v>45</v>
      </c>
      <c r="C34" s="66" t="n">
        <f aca="false">P34</f>
        <v>0.267673859671873</v>
      </c>
      <c r="D34" s="66" t="n">
        <f aca="false">AB34</f>
        <v>0.236906510489723</v>
      </c>
      <c r="E34" s="67" t="n">
        <f aca="false">ARR_Bridge!E65</f>
        <v>0.304912280856738</v>
      </c>
      <c r="F34" s="67" t="n">
        <f aca="false">ARR_Bridge!F65</f>
        <v>0.267490486872675</v>
      </c>
      <c r="G34" s="67" t="n">
        <f aca="false">ARR_Bridge!G65</f>
        <v>0.244623021038356</v>
      </c>
      <c r="H34" s="67" t="n">
        <f aca="false">ARR_Bridge!H65</f>
        <v>0.290665983824052</v>
      </c>
      <c r="I34" s="67" t="n">
        <f aca="false">ARR_Bridge!I65</f>
        <v>0.259516708852285</v>
      </c>
      <c r="J34" s="67" t="n">
        <f aca="false">ARR_Bridge!J65</f>
        <v>0.263854168096202</v>
      </c>
      <c r="K34" s="67" t="n">
        <f aca="false">ARR_Bridge!K65</f>
        <v>0.260040360446667</v>
      </c>
      <c r="L34" s="67" t="n">
        <f aca="false">ARR_Bridge!L65</f>
        <v>0.254502938058558</v>
      </c>
      <c r="M34" s="67" t="n">
        <f aca="false">ARR_Bridge!M65</f>
        <v>0.254689844854365</v>
      </c>
      <c r="N34" s="67" t="n">
        <f aca="false">ARR_Bridge!N65</f>
        <v>0.27095142784532</v>
      </c>
      <c r="O34" s="67" t="n">
        <f aca="false">ARR_Bridge!O65</f>
        <v>0.264034083805234</v>
      </c>
      <c r="P34" s="67" t="n">
        <f aca="false">ARR_Bridge!P65</f>
        <v>0.267673859671873</v>
      </c>
      <c r="Q34" s="67" t="n">
        <f aca="false">ARR_Bridge!Q65</f>
        <v>0.257340320813386</v>
      </c>
      <c r="R34" s="67" t="n">
        <f aca="false">ARR_Bridge!R65</f>
        <v>0.284948188272535</v>
      </c>
      <c r="S34" s="67" t="n">
        <f aca="false">ARR_Bridge!S65</f>
        <v>0.279188214812292</v>
      </c>
      <c r="T34" s="67" t="n">
        <f aca="false">ARR_Bridge!T65</f>
        <v>0.249733826099174</v>
      </c>
      <c r="U34" s="67" t="n">
        <f aca="false">ARR_Bridge!U65</f>
        <v>0.25480068896734</v>
      </c>
      <c r="V34" s="67" t="n">
        <f aca="false">ARR_Bridge!V65</f>
        <v>0.257641752038964</v>
      </c>
      <c r="W34" s="67" t="n">
        <f aca="false">ARR_Bridge!W65</f>
        <v>0.239365489356471</v>
      </c>
      <c r="X34" s="67" t="n">
        <f aca="false">ARR_Bridge!X65</f>
        <v>0.244283706292355</v>
      </c>
      <c r="Y34" s="67" t="n">
        <f aca="false">ARR_Bridge!Y65</f>
        <v>0.246443975794453</v>
      </c>
      <c r="Z34" s="67" t="n">
        <f aca="false">ARR_Bridge!Z65</f>
        <v>0.248501598387595</v>
      </c>
      <c r="AA34" s="67" t="n">
        <f aca="false">ARR_Bridge!AA65</f>
        <v>0.242561286876188</v>
      </c>
      <c r="AB34" s="67" t="n">
        <f aca="false">ARR_Bridge!AB65</f>
        <v>0.236906510489723</v>
      </c>
    </row>
    <row r="35" customFormat="false" ht="15" hidden="false" customHeight="false" outlineLevel="0" collapsed="false">
      <c r="A35" s="28" t="s">
        <v>820</v>
      </c>
      <c r="B35" s="63" t="s">
        <v>821</v>
      </c>
      <c r="C35" s="64" t="n">
        <f aca="false">P35</f>
        <v>6425973.04162272</v>
      </c>
      <c r="D35" s="64" t="n">
        <f aca="false">AB35</f>
        <v>8028569.48845875</v>
      </c>
      <c r="E35" s="65" t="n">
        <f aca="false">SUM(PL!E14:E14)+SUM(History!$D$42:$N$42)</f>
        <v>5219096.59333333</v>
      </c>
      <c r="F35" s="65" t="n">
        <f aca="false">SUM(PL!E14:F14)+SUM(History!$E$42:$N$42)</f>
        <v>5316616.87</v>
      </c>
      <c r="G35" s="65" t="n">
        <f aca="false">SUM(PL!E14:G14)+SUM(History!$F$42:$N$42)</f>
        <v>5408007.02</v>
      </c>
      <c r="H35" s="65" t="n">
        <f aca="false">SUM(PL!E14:H14)+SUM(History!$G$42:$N$42)</f>
        <v>5522218.85</v>
      </c>
      <c r="I35" s="65" t="n">
        <f aca="false">SUM(PL!E14:I14)+SUM(History!$H$42:$N$42)</f>
        <v>5625200.75333333</v>
      </c>
      <c r="J35" s="65" t="n">
        <f aca="false">SUM(PL!E14:J14)+SUM(History!$I$42:$N$42)</f>
        <v>5733434.05</v>
      </c>
      <c r="K35" s="65" t="n">
        <f aca="false">SUM(PL!E14:K14)+SUM(History!$J$42:$N$42)</f>
        <v>5842711.38666667</v>
      </c>
      <c r="L35" s="65" t="n">
        <f aca="false">SUM(PL!E14:L14)+SUM(History!$K$42:$N$42)</f>
        <v>5950796.28</v>
      </c>
      <c r="M35" s="65" t="n">
        <f aca="false">SUM(PL!E14:M14)+SUM(History!$L$42:$N$42)</f>
        <v>6061558.28043892</v>
      </c>
      <c r="N35" s="65" t="n">
        <f aca="false">SUM(PL!E14:N14)+SUM(History!$M$42:$N$42)</f>
        <v>6181499.31077777</v>
      </c>
      <c r="O35" s="65" t="n">
        <f aca="false">SUM(PL!E14:O14)+SUM(History!$N$42:$N$42)</f>
        <v>6301576.99353002</v>
      </c>
      <c r="P35" s="65" t="n">
        <f aca="false">SUM(PL!E14:P14)</f>
        <v>6425973.04162272</v>
      </c>
      <c r="Q35" s="65" t="n">
        <f aca="false">SUM(PL!F14:Q14)</f>
        <v>6551847.47086991</v>
      </c>
      <c r="R35" s="65" t="n">
        <f aca="false">SUM(PL!G14:R14)</f>
        <v>6690386.48577758</v>
      </c>
      <c r="S35" s="65" t="n">
        <f aca="false">SUM(PL!H14:S14)</f>
        <v>6829954.90933808</v>
      </c>
      <c r="T35" s="65" t="n">
        <f aca="false">SUM(PL!I14:T14)</f>
        <v>6955499.95700157</v>
      </c>
      <c r="U35" s="65" t="n">
        <f aca="false">SUM(PL!J14:U14)</f>
        <v>7086234.6707022</v>
      </c>
      <c r="V35" s="65" t="n">
        <f aca="false">SUM(PL!K14:V14)</f>
        <v>7220186.172821</v>
      </c>
      <c r="W35" s="65" t="n">
        <f aca="false">SUM(PL!L14:W14)</f>
        <v>7347863.39262972</v>
      </c>
      <c r="X35" s="65" t="n">
        <f aca="false">SUM(PL!M14:X14)</f>
        <v>7479169.45867709</v>
      </c>
      <c r="Y35" s="65" t="n">
        <f aca="false">SUM(PL!N14:Y14)</f>
        <v>7614866.61704121</v>
      </c>
      <c r="Z35" s="65" t="n">
        <f aca="false">SUM(PL!O14:Z14)</f>
        <v>7753702.61735223</v>
      </c>
      <c r="AA35" s="65" t="n">
        <f aca="false">SUM(PL!P14:AA14)</f>
        <v>7892113.48388613</v>
      </c>
      <c r="AB35" s="65" t="n">
        <f aca="false">SUM(PL!Q14:AB14)</f>
        <v>8028569.48845875</v>
      </c>
    </row>
    <row r="36" customFormat="false" ht="15" hidden="false" customHeight="false" outlineLevel="0" collapsed="false">
      <c r="A36" s="28" t="s">
        <v>822</v>
      </c>
      <c r="B36" s="63" t="s">
        <v>821</v>
      </c>
      <c r="C36" s="64" t="n">
        <f aca="false">P36</f>
        <v>-670368.382614836</v>
      </c>
      <c r="D36" s="64" t="n">
        <f aca="false">AB36</f>
        <v>-139041.390469954</v>
      </c>
      <c r="E36" s="65" t="n">
        <f aca="false">SUM(PL!E41:E41)+SUM(History!$D$43:$N$43)</f>
        <v>-1292316.16139864</v>
      </c>
      <c r="F36" s="65" t="n">
        <f aca="false">SUM(PL!E41:F41)+SUM(History!$E$43:$N$43)</f>
        <v>-1291149.4137344</v>
      </c>
      <c r="G36" s="65" t="n">
        <f aca="false">SUM(PL!E41:G41)+SUM(History!$F$43:$N$43)</f>
        <v>-1295632.84321422</v>
      </c>
      <c r="H36" s="65" t="n">
        <f aca="false">SUM(PL!E41:H41)+SUM(History!$G$43:$N$43)</f>
        <v>-1261370.13569427</v>
      </c>
      <c r="I36" s="65" t="n">
        <f aca="false">SUM(PL!E41:I41)+SUM(History!$H$43:$N$43)</f>
        <v>-1247495.80659761</v>
      </c>
      <c r="J36" s="65" t="n">
        <f aca="false">SUM(PL!E41:J41)+SUM(History!$I$43:$N$43)</f>
        <v>-1208525.91646034</v>
      </c>
      <c r="K36" s="65" t="n">
        <f aca="false">SUM(PL!E41:K41)+SUM(History!$J$43:$N$43)</f>
        <v>-1134020.54214615</v>
      </c>
      <c r="L36" s="65" t="n">
        <f aca="false">SUM(PL!E41:L41)+SUM(History!$K$43:$N$43)</f>
        <v>-1056149.22901225</v>
      </c>
      <c r="M36" s="65" t="n">
        <f aca="false">SUM(PL!E41:M41)+SUM(History!$L$43:$N$43)</f>
        <v>-973211.957890828</v>
      </c>
      <c r="N36" s="65" t="n">
        <f aca="false">SUM(PL!E41:N41)+SUM(History!$M$43:$N$43)</f>
        <v>-883575.265853142</v>
      </c>
      <c r="O36" s="65" t="n">
        <f aca="false">SUM(PL!E41:O41)+SUM(History!$N$43:$N$43)</f>
        <v>-798831.071893359</v>
      </c>
      <c r="P36" s="65" t="n">
        <f aca="false">SUM(PL!E41:P41)</f>
        <v>-670368.382614836</v>
      </c>
      <c r="Q36" s="65" t="n">
        <f aca="false">SUM(PL!F41:Q41)</f>
        <v>-673646.072288504</v>
      </c>
      <c r="R36" s="65" t="n">
        <f aca="false">SUM(PL!G41:R41)</f>
        <v>-615333.024263545</v>
      </c>
      <c r="S36" s="65" t="n">
        <f aca="false">SUM(PL!H41:S41)</f>
        <v>-570716.321788156</v>
      </c>
      <c r="T36" s="65" t="n">
        <f aca="false">SUM(PL!I41:T41)</f>
        <v>-522538.653929981</v>
      </c>
      <c r="U36" s="65" t="n">
        <f aca="false">SUM(PL!J41:U41)</f>
        <v>-483615.959739769</v>
      </c>
      <c r="V36" s="65" t="n">
        <f aca="false">SUM(PL!K41:V41)</f>
        <v>-411515.261203646</v>
      </c>
      <c r="W36" s="65" t="n">
        <f aca="false">SUM(PL!L41:W41)</f>
        <v>-360858.022298971</v>
      </c>
      <c r="X36" s="65" t="n">
        <f aca="false">SUM(PL!M41:X41)</f>
        <v>-318789.040163802</v>
      </c>
      <c r="Y36" s="65" t="n">
        <f aca="false">SUM(PL!N41:Y41)</f>
        <v>-286943.360960198</v>
      </c>
      <c r="Z36" s="65" t="n">
        <f aca="false">SUM(PL!O41:Z41)</f>
        <v>-242280.26355755</v>
      </c>
      <c r="AA36" s="65" t="n">
        <f aca="false">SUM(PL!P41:AA41)</f>
        <v>-187374.591689459</v>
      </c>
      <c r="AB36" s="65" t="n">
        <f aca="false">SUM(PL!Q41:AB41)</f>
        <v>-139041.390469954</v>
      </c>
    </row>
    <row r="37" customFormat="false" ht="15" hidden="false" customHeight="false" outlineLevel="0" collapsed="false">
      <c r="A37" s="28" t="s">
        <v>823</v>
      </c>
      <c r="B37" s="63"/>
      <c r="C37" s="66" t="n">
        <f aca="false">P37</f>
        <v>-0.104321692337127</v>
      </c>
      <c r="D37" s="66" t="n">
        <f aca="false">AB37</f>
        <v>-0.0173183268413918</v>
      </c>
      <c r="E37" s="75" t="n">
        <f aca="false">IF(E35=0,0,E36/E35)</f>
        <v>-0.247612999354983</v>
      </c>
      <c r="F37" s="75" t="n">
        <f aca="false">IF(F35=0,0,F36/F35)</f>
        <v>-0.242851694095158</v>
      </c>
      <c r="G37" s="75" t="n">
        <f aca="false">IF(G35=0,0,G36/G35)</f>
        <v>-0.239576768007638</v>
      </c>
      <c r="H37" s="75" t="n">
        <f aca="false">IF(H35=0,0,H36/H35)</f>
        <v>-0.228417266674295</v>
      </c>
      <c r="I37" s="75" t="n">
        <f aca="false">IF(I35=0,0,I36/I35)</f>
        <v>-0.221769117459209</v>
      </c>
      <c r="J37" s="75" t="n">
        <f aca="false">IF(J35=0,0,J36/J35)</f>
        <v>-0.21078570119078</v>
      </c>
      <c r="K37" s="75" t="n">
        <f aca="false">IF(K35=0,0,K36/K35)</f>
        <v>-0.1940914871705</v>
      </c>
      <c r="L37" s="75" t="n">
        <f aca="false">IF(L35=0,0,L36/L35)</f>
        <v>-0.177480320165195</v>
      </c>
      <c r="M37" s="75" t="n">
        <f aca="false">IF(M35=0,0,M36/M35)</f>
        <v>-0.160554747288573</v>
      </c>
      <c r="N37" s="75" t="n">
        <f aca="false">IF(N35=0,0,N36/N35)</f>
        <v>-0.142938666079374</v>
      </c>
      <c r="O37" s="75" t="n">
        <f aca="false">IF(O35=0,0,O36/O35)</f>
        <v>-0.126766851014204</v>
      </c>
      <c r="P37" s="75" t="n">
        <f aca="false">IF(P35=0,0,P36/P35)</f>
        <v>-0.104321692337127</v>
      </c>
      <c r="Q37" s="75" t="n">
        <f aca="false">IF(Q35=0,0,Q36/Q35)</f>
        <v>-0.10281772817264</v>
      </c>
      <c r="R37" s="75" t="n">
        <f aca="false">IF(R35=0,0,R36/R35)</f>
        <v>-0.0919727172072376</v>
      </c>
      <c r="S37" s="75" t="n">
        <f aca="false">IF(S35=0,0,S36/S35)</f>
        <v>-0.0835607744654154</v>
      </c>
      <c r="T37" s="75" t="n">
        <f aca="false">IF(T35=0,0,T36/T35)</f>
        <v>-0.0751259660930601</v>
      </c>
      <c r="U37" s="75" t="n">
        <f aca="false">IF(U35=0,0,U36/U35)</f>
        <v>-0.0682472402077316</v>
      </c>
      <c r="V37" s="75" t="n">
        <f aca="false">IF(V35=0,0,V36/V35)</f>
        <v>-0.0569951039147324</v>
      </c>
      <c r="W37" s="75" t="n">
        <f aca="false">IF(W35=0,0,W36/W35)</f>
        <v>-0.049110605766151</v>
      </c>
      <c r="X37" s="75" t="n">
        <f aca="false">IF(X35=0,0,X36/X35)</f>
        <v>-0.0426235883442851</v>
      </c>
      <c r="Y37" s="75" t="n">
        <f aca="false">IF(Y35=0,0,Y36/Y35)</f>
        <v>-0.0376819943658699</v>
      </c>
      <c r="Z37" s="75" t="n">
        <f aca="false">IF(Z35=0,0,Z36/Z35)</f>
        <v>-0.0312470409963034</v>
      </c>
      <c r="AA37" s="75" t="n">
        <f aca="false">IF(AA35=0,0,AA36/AA35)</f>
        <v>-0.0237420042263755</v>
      </c>
      <c r="AB37" s="75" t="n">
        <f aca="false">IF(AB35=0,0,AB36/AB35)</f>
        <v>-0.0173183268413918</v>
      </c>
    </row>
    <row r="38" customFormat="false" ht="15" hidden="false" customHeight="false" outlineLevel="0" collapsed="false">
      <c r="A38" s="59" t="s">
        <v>824</v>
      </c>
      <c r="B38" s="60"/>
      <c r="C38" s="77" t="n">
        <f aca="false">P38</f>
        <v>0.163352167334746</v>
      </c>
      <c r="D38" s="77" t="n">
        <f aca="false">AB38</f>
        <v>0.219588183648332</v>
      </c>
      <c r="E38" s="77" t="n">
        <f aca="false">E34+E37</f>
        <v>0.057299281501755</v>
      </c>
      <c r="F38" s="77" t="n">
        <f aca="false">F34+F37</f>
        <v>0.0246387927775165</v>
      </c>
      <c r="G38" s="77" t="n">
        <f aca="false">G34+G37</f>
        <v>0.00504625303071821</v>
      </c>
      <c r="H38" s="77" t="n">
        <f aca="false">H34+H37</f>
        <v>0.0622487171497566</v>
      </c>
      <c r="I38" s="77" t="n">
        <f aca="false">I34+I37</f>
        <v>0.0377475913930758</v>
      </c>
      <c r="J38" s="77" t="n">
        <f aca="false">J34+J37</f>
        <v>0.0530684669054214</v>
      </c>
      <c r="K38" s="77" t="n">
        <f aca="false">K34+K37</f>
        <v>0.0659488732761666</v>
      </c>
      <c r="L38" s="77" t="n">
        <f aca="false">L34+L37</f>
        <v>0.0770226178933626</v>
      </c>
      <c r="M38" s="77" t="n">
        <f aca="false">M34+M37</f>
        <v>0.0941350975657919</v>
      </c>
      <c r="N38" s="77" t="n">
        <f aca="false">N34+N37</f>
        <v>0.128012761765947</v>
      </c>
      <c r="O38" s="77" t="n">
        <f aca="false">O34+O37</f>
        <v>0.137267232791029</v>
      </c>
      <c r="P38" s="77" t="n">
        <f aca="false">P34+P37</f>
        <v>0.163352167334746</v>
      </c>
      <c r="Q38" s="77" t="n">
        <f aca="false">Q34+Q37</f>
        <v>0.154522592640746</v>
      </c>
      <c r="R38" s="77" t="n">
        <f aca="false">R34+R37</f>
        <v>0.192975471065297</v>
      </c>
      <c r="S38" s="77" t="n">
        <f aca="false">S34+S37</f>
        <v>0.195627440346877</v>
      </c>
      <c r="T38" s="77" t="n">
        <f aca="false">T34+T37</f>
        <v>0.174607860006114</v>
      </c>
      <c r="U38" s="77" t="n">
        <f aca="false">U34+U37</f>
        <v>0.186553448759608</v>
      </c>
      <c r="V38" s="77" t="n">
        <f aca="false">V34+V37</f>
        <v>0.200646648124231</v>
      </c>
      <c r="W38" s="77" t="n">
        <f aca="false">W34+W37</f>
        <v>0.19025488359032</v>
      </c>
      <c r="X38" s="77" t="n">
        <f aca="false">X34+X37</f>
        <v>0.20166011794807</v>
      </c>
      <c r="Y38" s="77" t="n">
        <f aca="false">Y34+Y37</f>
        <v>0.208761981428583</v>
      </c>
      <c r="Z38" s="77" t="n">
        <f aca="false">Z34+Z37</f>
        <v>0.217254557391292</v>
      </c>
      <c r="AA38" s="77" t="n">
        <f aca="false">AA34+AA37</f>
        <v>0.218819282649813</v>
      </c>
      <c r="AB38" s="77" t="n">
        <f aca="false">AB34+AB37</f>
        <v>0.219588183648332</v>
      </c>
    </row>
    <row r="39" customFormat="false" ht="15" hidden="false" customHeight="false" outlineLevel="0" collapsed="false">
      <c r="A39" s="28" t="s">
        <v>357</v>
      </c>
      <c r="B39" s="63" t="s">
        <v>825</v>
      </c>
      <c r="C39" s="64" t="n">
        <f aca="false">P39</f>
        <v>77647.7724102849</v>
      </c>
      <c r="D39" s="64" t="n">
        <f aca="false">AB39</f>
        <v>83266.5738337955</v>
      </c>
      <c r="E39" s="65" t="n">
        <f aca="false">IF(People!E24=0,0,ARR_Bridge!E61/People!E24)</f>
        <v>70027.0755555556</v>
      </c>
      <c r="F39" s="65" t="n">
        <f aca="false">IF(People!F24=0,0,ARR_Bridge!F61/People!F24)</f>
        <v>68139.108433735</v>
      </c>
      <c r="G39" s="65" t="n">
        <f aca="false">IF(People!G24=0,0,ARR_Bridge!G61/People!G24)</f>
        <v>68075.3138823529</v>
      </c>
      <c r="H39" s="65" t="n">
        <f aca="false">IF(People!H24=0,0,ARR_Bridge!H61/People!H24)</f>
        <v>69271.9944827586</v>
      </c>
      <c r="I39" s="65" t="n">
        <f aca="false">IF(People!I24=0,0,ARR_Bridge!I61/People!I24)</f>
        <v>68283.5905617978</v>
      </c>
      <c r="J39" s="65" t="n">
        <f aca="false">IF(People!J24=0,0,ARR_Bridge!J61/People!J24)</f>
        <v>68517.872</v>
      </c>
      <c r="K39" s="65" t="n">
        <f aca="false">IF(People!K24=0,0,ARR_Bridge!K61/People!K24)</f>
        <v>70568.972</v>
      </c>
      <c r="L39" s="65" t="n">
        <f aca="false">IF(People!L24=0,0,ARR_Bridge!L61/People!L24)</f>
        <v>72746.3672727273</v>
      </c>
      <c r="M39" s="65" t="n">
        <f aca="false">IF(People!M24=0,0,ARR_Bridge!M61/People!M24)</f>
        <v>74086.1252804747</v>
      </c>
      <c r="N39" s="65" t="n">
        <f aca="false">IF(People!N24=0,0,ARR_Bridge!N61/People!N24)</f>
        <v>75450.8668858159</v>
      </c>
      <c r="O39" s="65" t="n">
        <f aca="false">IF(People!O24=0,0,ARR_Bridge!O61/People!O24)</f>
        <v>76209.3616659016</v>
      </c>
      <c r="P39" s="65" t="n">
        <f aca="false">IF(People!P24=0,0,ARR_Bridge!P61/People!P24)</f>
        <v>77647.7724102849</v>
      </c>
      <c r="Q39" s="65" t="n">
        <f aca="false">IF(People!Q24=0,0,ARR_Bridge!Q61/People!Q24)</f>
        <v>74525.5032988599</v>
      </c>
      <c r="R39" s="65" t="n">
        <f aca="false">IF(People!R24=0,0,ARR_Bridge!R61/People!R24)</f>
        <v>76011.2344595708</v>
      </c>
      <c r="S39" s="65" t="n">
        <f aca="false">IF(People!S24=0,0,ARR_Bridge!S61/People!S24)</f>
        <v>75905.4447627439</v>
      </c>
      <c r="T39" s="65" t="n">
        <f aca="false">IF(People!T24=0,0,ARR_Bridge!T61/People!T24)</f>
        <v>76476.5540079909</v>
      </c>
      <c r="U39" s="65" t="n">
        <f aca="false">IF(People!U24=0,0,ARR_Bridge!U61/People!U24)</f>
        <v>75921.1555552419</v>
      </c>
      <c r="V39" s="65" t="n">
        <f aca="false">IF(People!V24=0,0,ARR_Bridge!V61/People!V24)</f>
        <v>77244.4414834819</v>
      </c>
      <c r="W39" s="65" t="n">
        <f aca="false">IF(People!W24=0,0,ARR_Bridge!W61/People!W24)</f>
        <v>78425.6429702248</v>
      </c>
      <c r="X39" s="65" t="n">
        <f aca="false">IF(People!X24=0,0,ARR_Bridge!X61/People!X24)</f>
        <v>79361.6040871959</v>
      </c>
      <c r="Y39" s="65" t="n">
        <f aca="false">IF(People!Y24=0,0,ARR_Bridge!Y61/People!Y24)</f>
        <v>79253.5153070819</v>
      </c>
      <c r="Z39" s="65" t="n">
        <f aca="false">IF(People!Z24=0,0,ARR_Bridge!Z61/People!Z24)</f>
        <v>80738.5193613068</v>
      </c>
      <c r="AA39" s="65" t="n">
        <f aca="false">IF(People!AA24=0,0,ARR_Bridge!AA61/People!AA24)</f>
        <v>82113.629280096</v>
      </c>
      <c r="AB39" s="65" t="n">
        <f aca="false">IF(People!AB24=0,0,ARR_Bridge!AB61/People!AB24)</f>
        <v>83266.5738337955</v>
      </c>
    </row>
    <row r="40" customFormat="false" ht="15" hidden="false" customHeight="false" outlineLevel="0" collapsed="false">
      <c r="A40" s="28" t="s">
        <v>826</v>
      </c>
      <c r="B40" s="63" t="s">
        <v>31</v>
      </c>
      <c r="C40" s="66" t="n">
        <f aca="false">IF(PL!C12=0,0,-(PL!C17+PL!C18)/PL!C12)</f>
        <v>0.0689595917990986</v>
      </c>
      <c r="D40" s="66" t="n">
        <f aca="false">IF(PL!D12=0,0,-(PL!D17+PL!D18)/PL!D12)</f>
        <v>0.0653841601836824</v>
      </c>
      <c r="E40" s="67" t="n">
        <f aca="false">IF(PL!E12=0,0,-(PL!E17+PL!E18)/PL!E12)</f>
        <v>0.0715030520681567</v>
      </c>
      <c r="F40" s="67" t="n">
        <f aca="false">IF(PL!F12=0,0,-(PL!F17+PL!F18)/PL!F12)</f>
        <v>0.0733863573914879</v>
      </c>
      <c r="G40" s="67" t="n">
        <f aca="false">IF(PL!G12=0,0,-(PL!G17+PL!G18)/PL!G12)</f>
        <v>0.0688715063417443</v>
      </c>
      <c r="H40" s="67" t="n">
        <f aca="false">IF(PL!H12=0,0,-(PL!H17+PL!H18)/PL!H12)</f>
        <v>0.0689633922021251</v>
      </c>
      <c r="I40" s="67" t="n">
        <f aca="false">IF(PL!I12=0,0,-(PL!I17+PL!I18)/PL!I12)</f>
        <v>0.0685335300489619</v>
      </c>
      <c r="J40" s="67" t="n">
        <f aca="false">IF(PL!J12=0,0,-(PL!J17+PL!J18)/PL!J12)</f>
        <v>0.0706202122953653</v>
      </c>
      <c r="K40" s="67" t="n">
        <f aca="false">IF(PL!K12=0,0,-(PL!K17+PL!K18)/PL!K12)</f>
        <v>0.0662918352653156</v>
      </c>
      <c r="L40" s="67" t="n">
        <f aca="false">IF(PL!L12=0,0,-(PL!L17+PL!L18)/PL!L12)</f>
        <v>0.0695211659678751</v>
      </c>
      <c r="M40" s="67" t="n">
        <f aca="false">IF(PL!M12=0,0,-(PL!M17+PL!M18)/PL!M12)</f>
        <v>0.0682793527226034</v>
      </c>
      <c r="N40" s="67" t="n">
        <f aca="false">IF(PL!N12=0,0,-(PL!N17+PL!N18)/PL!N12)</f>
        <v>0.0679431233632303</v>
      </c>
      <c r="O40" s="67" t="n">
        <f aca="false">IF(PL!O12=0,0,-(PL!O17+PL!O18)/PL!O12)</f>
        <v>0.0675196258582385</v>
      </c>
      <c r="P40" s="67" t="n">
        <f aca="false">IF(PL!P12=0,0,-(PL!P17+PL!P18)/PL!P12)</f>
        <v>0.0671616721763802</v>
      </c>
      <c r="Q40" s="67" t="n">
        <f aca="false">IF(PL!Q12=0,0,-(PL!Q17+PL!Q18)/PL!Q12)</f>
        <v>0.0670637047954449</v>
      </c>
      <c r="R40" s="67" t="n">
        <f aca="false">IF(PL!R12=0,0,-(PL!R17+PL!R18)/PL!R12)</f>
        <v>0.0667090183267732</v>
      </c>
      <c r="S40" s="67" t="n">
        <f aca="false">IF(PL!S12=0,0,-(PL!S17+PL!S18)/PL!S12)</f>
        <v>0.0663682646525089</v>
      </c>
      <c r="T40" s="67" t="n">
        <f aca="false">IF(PL!T12=0,0,-(PL!T17+PL!T18)/PL!T12)</f>
        <v>0.0660516409343526</v>
      </c>
      <c r="U40" s="67" t="n">
        <f aca="false">IF(PL!U12=0,0,-(PL!U17+PL!U18)/PL!U12)</f>
        <v>0.06582912587733</v>
      </c>
      <c r="V40" s="67" t="n">
        <f aca="false">IF(PL!V12=0,0,-(PL!V17+PL!V18)/PL!V12)</f>
        <v>0.0655310461564133</v>
      </c>
      <c r="W40" s="67" t="n">
        <f aca="false">IF(PL!W12=0,0,-(PL!W17+PL!W18)/PL!W12)</f>
        <v>0.0652725101522255</v>
      </c>
      <c r="X40" s="67" t="n">
        <f aca="false">IF(PL!X12=0,0,-(PL!X17+PL!X18)/PL!X12)</f>
        <v>0.0650685944130236</v>
      </c>
      <c r="Y40" s="67" t="n">
        <f aca="false">IF(PL!Y12=0,0,-(PL!Y17+PL!Y18)/PL!Y12)</f>
        <v>0.0647578597272839</v>
      </c>
      <c r="Z40" s="67" t="n">
        <f aca="false">IF(PL!Z12=0,0,-(PL!Z17+PL!Z18)/PL!Z12)</f>
        <v>0.0644528560401171</v>
      </c>
      <c r="AA40" s="67" t="n">
        <f aca="false">IF(PL!AA12=0,0,-(PL!AA17+PL!AA18)/PL!AA12)</f>
        <v>0.0641804611541781</v>
      </c>
      <c r="AB40" s="67" t="n">
        <f aca="false">IF(PL!AB12=0,0,-(PL!AB17+PL!AB18)/PL!AB12)</f>
        <v>0.0639563573918432</v>
      </c>
    </row>
    <row r="41" customFormat="false" ht="15" hidden="false" customHeight="false" outlineLevel="0" collapsed="false">
      <c r="A41" s="28" t="s">
        <v>827</v>
      </c>
      <c r="B41" s="63" t="s">
        <v>828</v>
      </c>
      <c r="C41" s="64" t="n">
        <f aca="false">AVERAGE(E41:P41)</f>
        <v>76.576452468047</v>
      </c>
      <c r="D41" s="64" t="n">
        <f aca="false">AVERAGE(Q41:AB41)</f>
        <v>81.9134195165962</v>
      </c>
      <c r="E41" s="65" t="n">
        <f aca="false">IF(ARR_Bridge!E63=0,0,-PL!E20/ARR_Bridge!E63)</f>
        <v>74.1003080308031</v>
      </c>
      <c r="F41" s="65" t="n">
        <f aca="false">IF(ARR_Bridge!F63=0,0,-PL!F20/ARR_Bridge!F63)</f>
        <v>73.2723068552775</v>
      </c>
      <c r="G41" s="65" t="n">
        <f aca="false">IF(ARR_Bridge!G63=0,0,-PL!G20/ARR_Bridge!G63)</f>
        <v>71.5625611052072</v>
      </c>
      <c r="H41" s="65" t="n">
        <f aca="false">IF(ARR_Bridge!H63=0,0,-PL!H20/ARR_Bridge!H63)</f>
        <v>74.8359958071279</v>
      </c>
      <c r="I41" s="65" t="n">
        <f aca="false">IF(ARR_Bridge!I63=0,0,-PL!I20/ARR_Bridge!I63)</f>
        <v>78.2471608832807</v>
      </c>
      <c r="J41" s="65" t="n">
        <f aca="false">IF(ARR_Bridge!J63=0,0,-PL!J20/ARR_Bridge!J63)</f>
        <v>82.6878616352201</v>
      </c>
      <c r="K41" s="65" t="n">
        <f aca="false">IF(ARR_Bridge!K63=0,0,-PL!K20/ARR_Bridge!K63)</f>
        <v>80.5608478038815</v>
      </c>
      <c r="L41" s="65" t="n">
        <f aca="false">IF(ARR_Bridge!L63=0,0,-PL!L20/ARR_Bridge!L63)</f>
        <v>77.8424155578301</v>
      </c>
      <c r="M41" s="65" t="n">
        <f aca="false">IF(ARR_Bridge!M63=0,0,-PL!M20/ARR_Bridge!M63)</f>
        <v>75.4107674549475</v>
      </c>
      <c r="N41" s="65" t="n">
        <f aca="false">IF(ARR_Bridge!N63=0,0,-PL!N20/ARR_Bridge!N63)</f>
        <v>77.633176305259</v>
      </c>
      <c r="O41" s="65" t="n">
        <f aca="false">IF(ARR_Bridge!O63=0,0,-PL!O20/ARR_Bridge!O63)</f>
        <v>76.6549670640757</v>
      </c>
      <c r="P41" s="65" t="n">
        <f aca="false">IF(ARR_Bridge!P63=0,0,-PL!P20/ARR_Bridge!P63)</f>
        <v>76.1090611136532</v>
      </c>
      <c r="Q41" s="65" t="n">
        <f aca="false">IF(ARR_Bridge!Q63=0,0,-PL!Q20/ARR_Bridge!Q63)</f>
        <v>77.5256213994442</v>
      </c>
      <c r="R41" s="65" t="n">
        <f aca="false">IF(ARR_Bridge!R63=0,0,-PL!R20/ARR_Bridge!R63)</f>
        <v>76.4922771732866</v>
      </c>
      <c r="S41" s="65" t="n">
        <f aca="false">IF(ARR_Bridge!S63=0,0,-PL!S20/ARR_Bridge!S63)</f>
        <v>82.4614936784368</v>
      </c>
      <c r="T41" s="65" t="n">
        <f aca="false">IF(ARR_Bridge!T63=0,0,-PL!T20/ARR_Bridge!T63)</f>
        <v>81.5874668432693</v>
      </c>
      <c r="U41" s="65" t="n">
        <f aca="false">IF(ARR_Bridge!U63=0,0,-PL!U20/ARR_Bridge!U63)</f>
        <v>85.129866571431</v>
      </c>
      <c r="V41" s="65" t="n">
        <f aca="false">IF(ARR_Bridge!V63=0,0,-PL!V20/ARR_Bridge!V63)</f>
        <v>84.4121115359893</v>
      </c>
      <c r="W41" s="65" t="n">
        <f aca="false">IF(ARR_Bridge!W63=0,0,-PL!W20/ARR_Bridge!W63)</f>
        <v>84.0050488055642</v>
      </c>
      <c r="X41" s="65" t="n">
        <f aca="false">IF(ARR_Bridge!X63=0,0,-PL!X20/ARR_Bridge!X63)</f>
        <v>84.0441654859919</v>
      </c>
      <c r="Y41" s="65" t="n">
        <f aca="false">IF(ARR_Bridge!Y63=0,0,-PL!Y20/ARR_Bridge!Y63)</f>
        <v>83.0653623047796</v>
      </c>
      <c r="Z41" s="65" t="n">
        <f aca="false">IF(ARR_Bridge!Z63=0,0,-PL!Z20/ARR_Bridge!Z63)</f>
        <v>82.011082468576</v>
      </c>
      <c r="AA41" s="65" t="n">
        <f aca="false">IF(ARR_Bridge!AA63=0,0,-PL!AA20/ARR_Bridge!AA63)</f>
        <v>81.2752560234933</v>
      </c>
      <c r="AB41" s="65" t="n">
        <f aca="false">IF(ARR_Bridge!AB63=0,0,-PL!AB20/ARR_Bridge!AB63)</f>
        <v>80.9512819088925</v>
      </c>
    </row>
    <row r="42" customFormat="false" ht="15" hidden="false" customHeight="false" outlineLevel="0" collapsed="false">
      <c r="A42" s="22" t="s">
        <v>829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customFormat="false" ht="15" hidden="false" customHeight="false" outlineLevel="0" collapsed="false">
      <c r="A43" s="28" t="s">
        <v>362</v>
      </c>
      <c r="B43" s="63" t="s">
        <v>34</v>
      </c>
      <c r="C43" s="64" t="n">
        <f aca="false">P43</f>
        <v>3695090.48338292</v>
      </c>
      <c r="D43" s="64" t="n">
        <f aca="false">AB43</f>
        <v>2041290.76337461</v>
      </c>
      <c r="E43" s="65" t="n">
        <f aca="false">BS!E9</f>
        <v>4852248.1816</v>
      </c>
      <c r="F43" s="65" t="n">
        <f aca="false">BS!F9</f>
        <v>4995217.72625</v>
      </c>
      <c r="G43" s="65" t="n">
        <f aca="false">BS!G9</f>
        <v>5127022.9542</v>
      </c>
      <c r="H43" s="65" t="n">
        <f aca="false">BS!H9</f>
        <v>4707127.2234</v>
      </c>
      <c r="I43" s="65" t="n">
        <f aca="false">BS!I9</f>
        <v>4886441.5383</v>
      </c>
      <c r="J43" s="65" t="n">
        <f aca="false">BS!J9</f>
        <v>4735039.50395</v>
      </c>
      <c r="K43" s="65" t="n">
        <f aca="false">BS!K9</f>
        <v>4308764.706</v>
      </c>
      <c r="L43" s="65" t="n">
        <f aca="false">BS!L9</f>
        <v>4314216.6401</v>
      </c>
      <c r="M43" s="65" t="n">
        <f aca="false">BS!M9</f>
        <v>4227071.66234184</v>
      </c>
      <c r="N43" s="65" t="n">
        <f aca="false">BS!N9</f>
        <v>3890943.09508614</v>
      </c>
      <c r="O43" s="65" t="n">
        <f aca="false">BS!O9</f>
        <v>3926768.85566784</v>
      </c>
      <c r="P43" s="65" t="n">
        <f aca="false">BS!P9</f>
        <v>3695090.48338292</v>
      </c>
      <c r="Q43" s="65" t="n">
        <f aca="false">BS!Q9</f>
        <v>3305287.37684197</v>
      </c>
      <c r="R43" s="65" t="n">
        <f aca="false">BS!R9</f>
        <v>3251254.78257675</v>
      </c>
      <c r="S43" s="65" t="n">
        <f aca="false">BS!S9</f>
        <v>3290582.26839432</v>
      </c>
      <c r="T43" s="65" t="n">
        <f aca="false">BS!T9</f>
        <v>3120538.59672397</v>
      </c>
      <c r="U43" s="65" t="n">
        <f aca="false">BS!U9</f>
        <v>3188304.56351528</v>
      </c>
      <c r="V43" s="65" t="n">
        <f aca="false">BS!V9</f>
        <v>2873084.18723816</v>
      </c>
      <c r="W43" s="65" t="n">
        <f aca="false">BS!W9</f>
        <v>2680289.76338965</v>
      </c>
      <c r="X43" s="65" t="n">
        <f aca="false">BS!X9</f>
        <v>2687783.22894887</v>
      </c>
      <c r="Y43" s="65" t="n">
        <f aca="false">BS!Y9</f>
        <v>2538330.74839547</v>
      </c>
      <c r="Z43" s="65" t="n">
        <f aca="false">BS!Z9</f>
        <v>2387195.22314706</v>
      </c>
      <c r="AA43" s="65" t="n">
        <f aca="false">BS!AA9</f>
        <v>2370346.56512129</v>
      </c>
      <c r="AB43" s="65" t="n">
        <f aca="false">BS!AB9</f>
        <v>2041290.76337461</v>
      </c>
    </row>
    <row r="44" customFormat="false" ht="15" hidden="false" customHeight="false" outlineLevel="0" collapsed="false">
      <c r="A44" s="28" t="s">
        <v>830</v>
      </c>
      <c r="B44" s="63" t="s">
        <v>36</v>
      </c>
      <c r="C44" s="64" t="n">
        <f aca="false">P44</f>
        <v>177327.059652971</v>
      </c>
      <c r="D44" s="64" t="n">
        <f aca="false">AB44</f>
        <v>165679.995006953</v>
      </c>
      <c r="E44" s="65" t="n">
        <f aca="false">-SUM(CF!E36:E36)/1</f>
        <v>347751.8184</v>
      </c>
      <c r="F44" s="65" t="n">
        <f aca="false">-SUM(CF!E36:F36)/2</f>
        <v>102391.136875</v>
      </c>
      <c r="G44" s="65" t="n">
        <f aca="false">-SUM(CF!E36:G36)/3</f>
        <v>24325.6819333333</v>
      </c>
      <c r="H44" s="65" t="n">
        <f aca="false">-SUM(CF!F36:H36)/3</f>
        <v>48373.6527333333</v>
      </c>
      <c r="I44" s="65" t="n">
        <f aca="false">-SUM(CF!G36:I36)/3</f>
        <v>36258.7293166667</v>
      </c>
      <c r="J44" s="65" t="n">
        <f aca="false">-SUM(CF!H36:J36)/3</f>
        <v>130661.150083333</v>
      </c>
      <c r="K44" s="65" t="n">
        <f aca="false">-SUM(CF!I36:K36)/3</f>
        <v>132787.5058</v>
      </c>
      <c r="L44" s="65" t="n">
        <f aca="false">-SUM(CF!J36:L36)/3</f>
        <v>190741.632733334</v>
      </c>
      <c r="M44" s="65" t="n">
        <f aca="false">-SUM(CF!K36:M36)/3</f>
        <v>169322.613869388</v>
      </c>
      <c r="N44" s="65" t="n">
        <f aca="false">-SUM(CF!L36:N36)/3</f>
        <v>139273.870304619</v>
      </c>
      <c r="O44" s="65" t="n">
        <f aca="false">-SUM(CF!M36:O36)/3</f>
        <v>129149.261477387</v>
      </c>
      <c r="P44" s="65" t="n">
        <f aca="false">-SUM(CF!N36:P36)/3</f>
        <v>177327.059652971</v>
      </c>
      <c r="Q44" s="65" t="n">
        <f aca="false">-SUM(CF!O36:Q36)/3</f>
        <v>195218.572748059</v>
      </c>
      <c r="R44" s="65" t="n">
        <f aca="false">-SUM(CF!P36:R36)/3</f>
        <v>225171.357697031</v>
      </c>
      <c r="S44" s="65" t="n">
        <f aca="false">-SUM(CF!Q36:S36)/3</f>
        <v>134836.071662866</v>
      </c>
      <c r="T44" s="65" t="n">
        <f aca="false">-SUM(CF!R36:T36)/3</f>
        <v>61582.9267059979</v>
      </c>
      <c r="U44" s="65" t="n">
        <f aca="false">-SUM(CF!S36:U36)/3</f>
        <v>20983.4063538221</v>
      </c>
      <c r="V44" s="65" t="n">
        <f aca="false">-SUM(CF!T36:V36)/3</f>
        <v>139166.027052053</v>
      </c>
      <c r="W44" s="65" t="n">
        <f aca="false">-SUM(CF!U36:W36)/3</f>
        <v>146749.611111439</v>
      </c>
      <c r="X44" s="65" t="n">
        <f aca="false">-SUM(CF!V36:X36)/3</f>
        <v>166840.444855471</v>
      </c>
      <c r="Y44" s="65" t="n">
        <f aca="false">-SUM(CF!W36:Y36)/3</f>
        <v>111584.479614232</v>
      </c>
      <c r="Z44" s="65" t="n">
        <f aca="false">-SUM(CF!X36:Z36)/3</f>
        <v>97698.1800808647</v>
      </c>
      <c r="AA44" s="65" t="n">
        <f aca="false">-SUM(CF!Y36:AA36)/3</f>
        <v>105812.221275858</v>
      </c>
      <c r="AB44" s="65" t="n">
        <f aca="false">-SUM(CF!Z36:AB36)/3</f>
        <v>165679.995006953</v>
      </c>
    </row>
    <row r="45" customFormat="false" ht="15" hidden="false" customHeight="false" outlineLevel="0" collapsed="false">
      <c r="A45" s="59" t="s">
        <v>831</v>
      </c>
      <c r="B45" s="60"/>
      <c r="C45" s="82" t="n">
        <f aca="false">P45</f>
        <v>15.1984163536981</v>
      </c>
      <c r="D45" s="82" t="n">
        <f aca="false">AB45</f>
        <v>6.28495168249438</v>
      </c>
      <c r="E45" s="81" t="n">
        <f aca="false">IF(E44&lt;=0,60,MIN(60,MAX(0,(E43-Assumptions!$C$13)/E44)))</f>
        <v>11.0775788299947</v>
      </c>
      <c r="F45" s="81" t="n">
        <f aca="false">IF(F44&lt;=0,60,MIN(60,MAX(0,(F43-Assumptions!$C$13)/F44)))</f>
        <v>39.0191753718625</v>
      </c>
      <c r="G45" s="81" t="n">
        <f aca="false">IF(G44&lt;=0,60,MIN(60,MAX(0,(G43-Assumptions!$C$13)/G44)))</f>
        <v>60</v>
      </c>
      <c r="H45" s="81" t="n">
        <f aca="false">IF(H44&lt;=0,60,MIN(60,MAX(0,(H43-Assumptions!$C$13)/H44)))</f>
        <v>60</v>
      </c>
      <c r="I45" s="81" t="n">
        <f aca="false">IF(I44&lt;=0,60,MIN(60,MAX(0,(I43-Assumptions!$C$13)/I44)))</f>
        <v>60</v>
      </c>
      <c r="J45" s="81" t="n">
        <f aca="false">IF(J44&lt;=0,60,MIN(60,MAX(0,(J43-Assumptions!$C$13)/J44)))</f>
        <v>28.5856928518374</v>
      </c>
      <c r="K45" s="81" t="n">
        <f aca="false">IF(K44&lt;=0,60,MIN(60,MAX(0,(K43-Assumptions!$C$13)/K44)))</f>
        <v>24.9177412141737</v>
      </c>
      <c r="L45" s="81" t="n">
        <f aca="false">IF(L44&lt;=0,60,MIN(60,MAX(0,(L43-Assumptions!$C$13)/L44)))</f>
        <v>17.37542345951</v>
      </c>
      <c r="M45" s="81" t="n">
        <f aca="false">IF(M44&lt;=0,60,MIN(60,MAX(0,(M43-Assumptions!$C$13)/M44)))</f>
        <v>19.0587163084497</v>
      </c>
      <c r="N45" s="81" t="n">
        <f aca="false">IF(N44&lt;=0,60,MIN(60,MAX(0,(N43-Assumptions!$C$13)/N44)))</f>
        <v>20.75725395412</v>
      </c>
      <c r="O45" s="81" t="n">
        <f aca="false">IF(O44&lt;=0,60,MIN(60,MAX(0,(O43-Assumptions!$C$13)/O44)))</f>
        <v>22.6619093457247</v>
      </c>
      <c r="P45" s="81" t="n">
        <f aca="false">IF(P44&lt;=0,60,MIN(60,MAX(0,(P43-Assumptions!$C$13)/P44)))</f>
        <v>15.1984163536981</v>
      </c>
      <c r="Q45" s="81" t="n">
        <f aca="false">IF(Q44&lt;=0,60,MIN(60,MAX(0,(Q43-Assumptions!$C$13)/Q44)))</f>
        <v>11.8087502863627</v>
      </c>
      <c r="R45" s="81" t="n">
        <f aca="false">IF(R44&lt;=0,60,MIN(60,MAX(0,(R43-Assumptions!$C$13)/R44)))</f>
        <v>9.99796246557176</v>
      </c>
      <c r="S45" s="81" t="n">
        <f aca="false">IF(S44&lt;=0,60,MIN(60,MAX(0,(S43-Assumptions!$C$13)/S44)))</f>
        <v>16.9879042020856</v>
      </c>
      <c r="T45" s="81" t="n">
        <f aca="false">IF(T44&lt;=0,60,MIN(60,MAX(0,(T43-Assumptions!$C$13)/T44)))</f>
        <v>34.4338716938154</v>
      </c>
      <c r="U45" s="81" t="n">
        <f aca="false">IF(U44&lt;=0,60,MIN(60,MAX(0,(U43-Assumptions!$C$13)/U44)))</f>
        <v>60</v>
      </c>
      <c r="V45" s="81" t="n">
        <f aca="false">IF(V44&lt;=0,60,MIN(60,MAX(0,(V43-Assumptions!$C$13)/V44)))</f>
        <v>13.459349432585</v>
      </c>
      <c r="W45" s="81" t="n">
        <f aca="false">IF(W44&lt;=0,60,MIN(60,MAX(0,(W43-Assumptions!$C$13)/W44)))</f>
        <v>11.4500457661429</v>
      </c>
      <c r="X45" s="81" t="n">
        <f aca="false">IF(X44&lt;=0,60,MIN(60,MAX(0,(X43-Assumptions!$C$13)/X44)))</f>
        <v>10.1161515747033</v>
      </c>
      <c r="Y45" s="81" t="n">
        <f aca="false">IF(Y44&lt;=0,60,MIN(60,MAX(0,(Y43-Assumptions!$C$13)/Y44)))</f>
        <v>13.7862429767452</v>
      </c>
      <c r="Z45" s="81" t="n">
        <f aca="false">IF(Z44&lt;=0,60,MIN(60,MAX(0,(Z43-Assumptions!$C$13)/Z44)))</f>
        <v>14.1987826385187</v>
      </c>
      <c r="AA45" s="81" t="n">
        <f aca="false">IF(AA44&lt;=0,60,MIN(60,MAX(0,(AA43-Assumptions!$C$13)/AA44)))</f>
        <v>12.9507399863455</v>
      </c>
      <c r="AB45" s="81" t="n">
        <f aca="false">IF(AB44&lt;=0,60,MIN(60,MAX(0,(AB43-Assumptions!$C$13)/AB44)))</f>
        <v>6.28495168249438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832</v>
      </c>
    </row>
    <row r="3" customFormat="false" ht="15" hidden="false" customHeight="false" outlineLevel="0" collapsed="false">
      <c r="A3" s="50" t="s">
        <v>833</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834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835</v>
      </c>
      <c r="B9" s="63" t="s">
        <v>54</v>
      </c>
      <c r="C9" s="64" t="n">
        <f aca="false">SUM(E9:P9)</f>
        <v>2292146.03335691</v>
      </c>
      <c r="D9" s="64" t="n">
        <f aca="false">SUM(Q9:AB9)</f>
        <v>2845748.14308978</v>
      </c>
      <c r="E9" s="65" t="n">
        <f aca="false">Subscriptions!E58</f>
        <v>174978.24</v>
      </c>
      <c r="F9" s="65" t="n">
        <f aca="false">Subscriptions!F58</f>
        <v>177795.19</v>
      </c>
      <c r="G9" s="65" t="n">
        <f aca="false">Subscriptions!G58</f>
        <v>182441.8</v>
      </c>
      <c r="H9" s="65" t="n">
        <f aca="false">Subscriptions!H58</f>
        <v>185266.36</v>
      </c>
      <c r="I9" s="65" t="n">
        <f aca="false">Subscriptions!I58</f>
        <v>186670.07</v>
      </c>
      <c r="J9" s="65" t="n">
        <f aca="false">Subscriptions!J58</f>
        <v>188010.67</v>
      </c>
      <c r="K9" s="65" t="n">
        <f aca="false">Subscriptions!K58</f>
        <v>193092.08</v>
      </c>
      <c r="L9" s="65" t="n">
        <f aca="false">Subscriptions!L58</f>
        <v>193793.2</v>
      </c>
      <c r="M9" s="65" t="n">
        <f aca="false">Subscriptions!M58</f>
        <v>197510.54199</v>
      </c>
      <c r="N9" s="65" t="n">
        <f aca="false">Subscriptions!N58</f>
        <v>201389.981659303</v>
      </c>
      <c r="O9" s="65" t="n">
        <f aca="false">Subscriptions!O58</f>
        <v>204577.130406235</v>
      </c>
      <c r="P9" s="65" t="n">
        <f aca="false">Subscriptions!P58</f>
        <v>206620.769301376</v>
      </c>
      <c r="Q9" s="65" t="n">
        <f aca="false">Subscriptions!Q58</f>
        <v>221529.16542104</v>
      </c>
      <c r="R9" s="65" t="n">
        <f aca="false">Subscriptions!R58</f>
        <v>225107.101002617</v>
      </c>
      <c r="S9" s="65" t="n">
        <f aca="false">Subscriptions!S58</f>
        <v>228435.848599049</v>
      </c>
      <c r="T9" s="65" t="n">
        <f aca="false">Subscriptions!T58</f>
        <v>231378.848655521</v>
      </c>
      <c r="U9" s="65" t="n">
        <f aca="false">Subscriptions!U58</f>
        <v>234298.743785971</v>
      </c>
      <c r="V9" s="65" t="n">
        <f aca="false">Subscriptions!V58</f>
        <v>236849.87830248</v>
      </c>
      <c r="W9" s="65" t="n">
        <f aca="false">Subscriptions!W58</f>
        <v>238726.323980879</v>
      </c>
      <c r="X9" s="65" t="n">
        <f aca="false">Subscriptions!X58</f>
        <v>239484.052549134</v>
      </c>
      <c r="Y9" s="65" t="n">
        <f aca="false">Subscriptions!Y58</f>
        <v>242896.501665807</v>
      </c>
      <c r="Z9" s="65" t="n">
        <f aca="false">Subscriptions!Z58</f>
        <v>246515.843407558</v>
      </c>
      <c r="AA9" s="65" t="n">
        <f aca="false">Subscriptions!AA58</f>
        <v>249407.831021413</v>
      </c>
      <c r="AB9" s="65" t="n">
        <f aca="false">Subscriptions!AB58</f>
        <v>251118.00469831</v>
      </c>
    </row>
    <row r="10" customFormat="false" ht="15" hidden="false" customHeight="false" outlineLevel="0" collapsed="false">
      <c r="A10" s="28" t="s">
        <v>372</v>
      </c>
      <c r="B10" s="63" t="s">
        <v>54</v>
      </c>
      <c r="C10" s="64" t="n">
        <f aca="false">SUM(E10:P10)</f>
        <v>2459896.09576636</v>
      </c>
      <c r="D10" s="64" t="n">
        <f aca="false">SUM(Q10:AB10)</f>
        <v>3119961.5307789</v>
      </c>
      <c r="E10" s="65" t="n">
        <f aca="false">Subscriptions!E259</f>
        <v>342377.37</v>
      </c>
      <c r="F10" s="65" t="n">
        <f aca="false">Subscriptions!F259</f>
        <v>153826.95</v>
      </c>
      <c r="G10" s="65" t="n">
        <f aca="false">Subscriptions!G259</f>
        <v>222724.66</v>
      </c>
      <c r="H10" s="65" t="n">
        <f aca="false">Subscriptions!H259</f>
        <v>224484.73</v>
      </c>
      <c r="I10" s="65" t="n">
        <f aca="false">Subscriptions!I259</f>
        <v>198878.25</v>
      </c>
      <c r="J10" s="65" t="n">
        <f aca="false">Subscriptions!J259</f>
        <v>173224.19</v>
      </c>
      <c r="K10" s="65" t="n">
        <f aca="false">Subscriptions!K259</f>
        <v>242642.64</v>
      </c>
      <c r="L10" s="65" t="n">
        <f aca="false">Subscriptions!L259</f>
        <v>155835.94</v>
      </c>
      <c r="M10" s="65" t="n">
        <f aca="false">Subscriptions!M259</f>
        <v>201470.37473536</v>
      </c>
      <c r="N10" s="65" t="n">
        <f aca="false">Subscriptions!N259</f>
        <v>181485.750112756</v>
      </c>
      <c r="O10" s="65" t="n">
        <f aca="false">Subscriptions!O259</f>
        <v>195217.984046351</v>
      </c>
      <c r="P10" s="65" t="n">
        <f aca="false">Subscriptions!P259</f>
        <v>167727.256871894</v>
      </c>
      <c r="Q10" s="65" t="n">
        <f aca="false">Subscriptions!Q259</f>
        <v>411436.912559246</v>
      </c>
      <c r="R10" s="65" t="n">
        <f aca="false">Subscriptions!R259</f>
        <v>213200.510397167</v>
      </c>
      <c r="S10" s="65" t="n">
        <f aca="false">Subscriptions!S259</f>
        <v>278272.375691183</v>
      </c>
      <c r="T10" s="65" t="n">
        <f aca="false">Subscriptions!T259</f>
        <v>281160.036439458</v>
      </c>
      <c r="U10" s="65" t="n">
        <f aca="false">Subscriptions!U259</f>
        <v>254962.905698488</v>
      </c>
      <c r="V10" s="65" t="n">
        <f aca="false">Subscriptions!V259</f>
        <v>225114.087456831</v>
      </c>
      <c r="W10" s="65" t="n">
        <f aca="false">Subscriptions!W259</f>
        <v>292369.043452779</v>
      </c>
      <c r="X10" s="65" t="n">
        <f aca="false">Subscriptions!X259</f>
        <v>193383.452144259</v>
      </c>
      <c r="Y10" s="65" t="n">
        <f aca="false">Subscriptions!Y259</f>
        <v>260986.813725346</v>
      </c>
      <c r="Z10" s="65" t="n">
        <f aca="false">Subscriptions!Z259</f>
        <v>241966.897351727</v>
      </c>
      <c r="AA10" s="65" t="n">
        <f aca="false">Subscriptions!AA259</f>
        <v>251784.397237201</v>
      </c>
      <c r="AB10" s="65" t="n">
        <f aca="false">Subscriptions!AB259</f>
        <v>215324.098625217</v>
      </c>
    </row>
    <row r="11" customFormat="false" ht="15" hidden="false" customHeight="false" outlineLevel="0" collapsed="false">
      <c r="A11" s="28" t="s">
        <v>373</v>
      </c>
      <c r="B11" s="63" t="s">
        <v>56</v>
      </c>
      <c r="C11" s="64" t="n">
        <f aca="false">SUM(E11:P11)</f>
        <v>1930424.18364448</v>
      </c>
      <c r="D11" s="64" t="n">
        <f aca="false">SUM(Q11:AB11)</f>
        <v>2373871.39370307</v>
      </c>
      <c r="E11" s="65" t="n">
        <f aca="false">Enterprise!E101</f>
        <v>354049.2</v>
      </c>
      <c r="F11" s="65" t="n">
        <f aca="false">Enterprise!F101</f>
        <v>0</v>
      </c>
      <c r="G11" s="65" t="n">
        <f aca="false">Enterprise!G101</f>
        <v>274006.84</v>
      </c>
      <c r="H11" s="65" t="n">
        <f aca="false">Enterprise!H101</f>
        <v>202348.2</v>
      </c>
      <c r="I11" s="65" t="n">
        <f aca="false">Enterprise!I101</f>
        <v>147622.92</v>
      </c>
      <c r="J11" s="65" t="n">
        <f aca="false">Enterprise!J101</f>
        <v>167919.36</v>
      </c>
      <c r="K11" s="65" t="n">
        <f aca="false">Enterprise!K101</f>
        <v>132288.72</v>
      </c>
      <c r="L11" s="65" t="n">
        <f aca="false">Enterprise!L101</f>
        <v>0</v>
      </c>
      <c r="M11" s="65" t="n">
        <f aca="false">Enterprise!M101</f>
        <v>239786.89209168</v>
      </c>
      <c r="N11" s="65" t="n">
        <f aca="false">Enterprise!N101</f>
        <v>98416.7763696</v>
      </c>
      <c r="O11" s="65" t="n">
        <f aca="false">Enterprise!O101</f>
        <v>259985.2751832</v>
      </c>
      <c r="P11" s="65" t="n">
        <f aca="false">Enterprise!P101</f>
        <v>54000</v>
      </c>
      <c r="Q11" s="65" t="n">
        <f aca="false">Enterprise!Q101</f>
        <v>374943.166866</v>
      </c>
      <c r="R11" s="65" t="n">
        <f aca="false">Enterprise!R101</f>
        <v>32400</v>
      </c>
      <c r="S11" s="65" t="n">
        <f aca="false">Enterprise!S101</f>
        <v>315327.5440218</v>
      </c>
      <c r="T11" s="65" t="n">
        <f aca="false">Enterprise!T101</f>
        <v>242578.6543296</v>
      </c>
      <c r="U11" s="65" t="n">
        <f aca="false">Enterprise!U101</f>
        <v>143432.48015712</v>
      </c>
      <c r="V11" s="65" t="n">
        <f aca="false">Enterprise!V101</f>
        <v>209689.66723248</v>
      </c>
      <c r="W11" s="65" t="n">
        <f aca="false">Enterprise!W101</f>
        <v>178050.77145216</v>
      </c>
      <c r="X11" s="65" t="n">
        <f aca="false">Enterprise!X101</f>
        <v>44100</v>
      </c>
      <c r="Y11" s="65" t="n">
        <f aca="false">Enterprise!Y101</f>
        <v>285927.435563088</v>
      </c>
      <c r="Z11" s="65" t="n">
        <f aca="false">Enterprise!Z101</f>
        <v>142144.367287817</v>
      </c>
      <c r="AA11" s="65" t="n">
        <f aca="false">Enterprise!AA101</f>
        <v>305696.356793005</v>
      </c>
      <c r="AB11" s="65" t="n">
        <f aca="false">Enterprise!AB101</f>
        <v>99580.95</v>
      </c>
    </row>
    <row r="12" customFormat="false" ht="15" hidden="false" customHeight="false" outlineLevel="0" collapsed="false">
      <c r="A12" s="28" t="s">
        <v>836</v>
      </c>
      <c r="B12" s="63" t="s">
        <v>58</v>
      </c>
      <c r="C12" s="64" t="n">
        <f aca="false">SUM(E12:P12)</f>
        <v>144568.05</v>
      </c>
      <c r="D12" s="64" t="n">
        <f aca="false">SUM(Q12:AB12)</f>
        <v>129150</v>
      </c>
      <c r="E12" s="65" t="n">
        <f aca="false">New_Business!E16</f>
        <v>22500</v>
      </c>
      <c r="F12" s="65" t="n">
        <f aca="false">New_Business!F16</f>
        <v>10000</v>
      </c>
      <c r="G12" s="65" t="n">
        <f aca="false">New_Business!G16</f>
        <v>17500</v>
      </c>
      <c r="H12" s="65" t="n">
        <f aca="false">New_Business!H16</f>
        <v>12500</v>
      </c>
      <c r="I12" s="65" t="n">
        <f aca="false">New_Business!I16</f>
        <v>7500</v>
      </c>
      <c r="J12" s="65" t="n">
        <f aca="false">New_Business!J16</f>
        <v>10000</v>
      </c>
      <c r="K12" s="65" t="n">
        <f aca="false">New_Business!K16</f>
        <v>10000</v>
      </c>
      <c r="L12" s="65" t="n">
        <f aca="false">New_Business!L16</f>
        <v>12500</v>
      </c>
      <c r="M12" s="65" t="n">
        <f aca="false">New_Business!M16</f>
        <v>11163.275</v>
      </c>
      <c r="N12" s="65" t="n">
        <f aca="false">New_Business!N16</f>
        <v>11576.35</v>
      </c>
      <c r="O12" s="65" t="n">
        <f aca="false">New_Business!O16</f>
        <v>10543.15</v>
      </c>
      <c r="P12" s="65" t="n">
        <f aca="false">New_Business!P16</f>
        <v>8785.275</v>
      </c>
      <c r="Q12" s="65" t="n">
        <f aca="false">New_Business!Q16</f>
        <v>13241.10375</v>
      </c>
      <c r="R12" s="65" t="n">
        <f aca="false">New_Business!R16</f>
        <v>11721.43875</v>
      </c>
      <c r="S12" s="65" t="n">
        <f aca="false">New_Business!S16</f>
        <v>11395.335</v>
      </c>
      <c r="T12" s="65" t="n">
        <f aca="false">New_Business!T16</f>
        <v>10852.905</v>
      </c>
      <c r="U12" s="65" t="n">
        <f aca="false">New_Business!U16</f>
        <v>10852.905</v>
      </c>
      <c r="V12" s="65" t="n">
        <f aca="false">New_Business!V16</f>
        <v>10310.475</v>
      </c>
      <c r="W12" s="65" t="n">
        <f aca="false">New_Business!W16</f>
        <v>9224.53875</v>
      </c>
      <c r="X12" s="65" t="n">
        <f aca="false">New_Business!X16</f>
        <v>7379.84625</v>
      </c>
      <c r="Y12" s="65" t="n">
        <f aca="false">New_Business!Y16</f>
        <v>11721.43875</v>
      </c>
      <c r="Z12" s="65" t="n">
        <f aca="false">New_Business!Z16</f>
        <v>12155.1675</v>
      </c>
      <c r="AA12" s="65" t="n">
        <f aca="false">New_Business!AA16</f>
        <v>11070.3075</v>
      </c>
      <c r="AB12" s="65" t="n">
        <f aca="false">New_Business!AB16</f>
        <v>9224.53875</v>
      </c>
    </row>
    <row r="13" customFormat="false" ht="15" hidden="false" customHeight="false" outlineLevel="0" collapsed="false">
      <c r="A13" s="28" t="s">
        <v>837</v>
      </c>
      <c r="B13" s="63" t="s">
        <v>56</v>
      </c>
      <c r="C13" s="64" t="n">
        <f aca="false">SUM(E13:P13)</f>
        <v>63800</v>
      </c>
      <c r="D13" s="64" t="n">
        <f aca="false">SUM(Q13:AB13)</f>
        <v>84700</v>
      </c>
      <c r="E13" s="65" t="n">
        <f aca="false">Enterprise!E102</f>
        <v>0</v>
      </c>
      <c r="F13" s="65" t="n">
        <f aca="false">Enterprise!F102</f>
        <v>0</v>
      </c>
      <c r="G13" s="65" t="n">
        <f aca="false">Enterprise!G102</f>
        <v>0</v>
      </c>
      <c r="H13" s="65" t="n">
        <f aca="false">Enterprise!H102</f>
        <v>28000</v>
      </c>
      <c r="I13" s="65" t="n">
        <f aca="false">Enterprise!I102</f>
        <v>0</v>
      </c>
      <c r="J13" s="65" t="n">
        <f aca="false">Enterprise!J102</f>
        <v>0</v>
      </c>
      <c r="K13" s="65" t="n">
        <f aca="false">Enterprise!K102</f>
        <v>14000</v>
      </c>
      <c r="L13" s="65" t="n">
        <f aca="false">Enterprise!L102</f>
        <v>0</v>
      </c>
      <c r="M13" s="65" t="n">
        <f aca="false">Enterprise!M102</f>
        <v>0</v>
      </c>
      <c r="N13" s="65" t="n">
        <f aca="false">Enterprise!N102</f>
        <v>0</v>
      </c>
      <c r="O13" s="65" t="n">
        <f aca="false">Enterprise!O102</f>
        <v>10800</v>
      </c>
      <c r="P13" s="65" t="n">
        <f aca="false">Enterprise!P102</f>
        <v>11000</v>
      </c>
      <c r="Q13" s="65" t="n">
        <f aca="false">Enterprise!Q102</f>
        <v>7200</v>
      </c>
      <c r="R13" s="65" t="n">
        <f aca="false">Enterprise!R102</f>
        <v>6000</v>
      </c>
      <c r="S13" s="65" t="n">
        <f aca="false">Enterprise!S102</f>
        <v>8000</v>
      </c>
      <c r="T13" s="65" t="n">
        <f aca="false">Enterprise!T102</f>
        <v>7500</v>
      </c>
      <c r="U13" s="65" t="n">
        <f aca="false">Enterprise!U102</f>
        <v>0</v>
      </c>
      <c r="V13" s="65" t="n">
        <f aca="false">Enterprise!V102</f>
        <v>8000</v>
      </c>
      <c r="W13" s="65" t="n">
        <f aca="false">Enterprise!W102</f>
        <v>8000</v>
      </c>
      <c r="X13" s="65" t="n">
        <f aca="false">Enterprise!X102</f>
        <v>8000</v>
      </c>
      <c r="Y13" s="65" t="n">
        <f aca="false">Enterprise!Y102</f>
        <v>8000</v>
      </c>
      <c r="Z13" s="65" t="n">
        <f aca="false">Enterprise!Z102</f>
        <v>8000</v>
      </c>
      <c r="AA13" s="65" t="n">
        <f aca="false">Enterprise!AA102</f>
        <v>8000</v>
      </c>
      <c r="AB13" s="65" t="n">
        <f aca="false">Enterprise!AB102</f>
        <v>8000</v>
      </c>
    </row>
    <row r="14" customFormat="false" ht="15" hidden="false" customHeight="false" outlineLevel="0" collapsed="false">
      <c r="A14" s="59" t="s">
        <v>838</v>
      </c>
      <c r="B14" s="60"/>
      <c r="C14" s="61" t="n">
        <f aca="false">SUM(E14:P14)</f>
        <v>6890834.36276776</v>
      </c>
      <c r="D14" s="61" t="n">
        <f aca="false">SUM(Q14:AB14)</f>
        <v>8553431.06757175</v>
      </c>
      <c r="E14" s="61" t="n">
        <f aca="false">SUM(E9:E13)</f>
        <v>893904.81</v>
      </c>
      <c r="F14" s="61" t="n">
        <f aca="false">SUM(F9:F13)</f>
        <v>341622.14</v>
      </c>
      <c r="G14" s="61" t="n">
        <f aca="false">SUM(G9:G13)</f>
        <v>696673.3</v>
      </c>
      <c r="H14" s="61" t="n">
        <f aca="false">SUM(H9:H13)</f>
        <v>652599.29</v>
      </c>
      <c r="I14" s="61" t="n">
        <f aca="false">SUM(I9:I13)</f>
        <v>540671.24</v>
      </c>
      <c r="J14" s="61" t="n">
        <f aca="false">SUM(J9:J13)</f>
        <v>539154.22</v>
      </c>
      <c r="K14" s="61" t="n">
        <f aca="false">SUM(K9:K13)</f>
        <v>592023.44</v>
      </c>
      <c r="L14" s="61" t="n">
        <f aca="false">SUM(L9:L13)</f>
        <v>362129.14</v>
      </c>
      <c r="M14" s="61" t="n">
        <f aca="false">SUM(M9:M13)</f>
        <v>649931.08381704</v>
      </c>
      <c r="N14" s="61" t="n">
        <f aca="false">SUM(N9:N13)</f>
        <v>492868.858141659</v>
      </c>
      <c r="O14" s="61" t="n">
        <f aca="false">SUM(O9:O13)</f>
        <v>681123.539635787</v>
      </c>
      <c r="P14" s="61" t="n">
        <f aca="false">SUM(P9:P13)</f>
        <v>448133.30117327</v>
      </c>
      <c r="Q14" s="61" t="n">
        <f aca="false">SUM(Q9:Q13)</f>
        <v>1028350.34859629</v>
      </c>
      <c r="R14" s="61" t="n">
        <f aca="false">SUM(R9:R13)</f>
        <v>488429.050149784</v>
      </c>
      <c r="S14" s="61" t="n">
        <f aca="false">SUM(S9:S13)</f>
        <v>841431.103312033</v>
      </c>
      <c r="T14" s="61" t="n">
        <f aca="false">SUM(T9:T13)</f>
        <v>773470.444424579</v>
      </c>
      <c r="U14" s="61" t="n">
        <f aca="false">SUM(U9:U13)</f>
        <v>643547.034641579</v>
      </c>
      <c r="V14" s="61" t="n">
        <f aca="false">SUM(V9:V13)</f>
        <v>689964.107991791</v>
      </c>
      <c r="W14" s="61" t="n">
        <f aca="false">SUM(W9:W13)</f>
        <v>726370.677635817</v>
      </c>
      <c r="X14" s="61" t="n">
        <f aca="false">SUM(X9:X13)</f>
        <v>492347.350943393</v>
      </c>
      <c r="Y14" s="61" t="n">
        <f aca="false">SUM(Y9:Y13)</f>
        <v>809532.189704242</v>
      </c>
      <c r="Z14" s="61" t="n">
        <f aca="false">SUM(Z9:Z13)</f>
        <v>650782.275547103</v>
      </c>
      <c r="AA14" s="61" t="n">
        <f aca="false">SUM(AA9:AA13)</f>
        <v>825958.89255162</v>
      </c>
      <c r="AB14" s="61" t="n">
        <f aca="false">SUM(AB9:AB13)</f>
        <v>583247.592073527</v>
      </c>
    </row>
    <row r="15" customFormat="false" ht="15" hidden="false" customHeight="false" outlineLevel="0" collapsed="false">
      <c r="A15" s="22" t="s">
        <v>839</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row>
    <row r="16" customFormat="false" ht="15" hidden="false" customHeight="false" outlineLevel="0" collapsed="false">
      <c r="A16" s="28" t="s">
        <v>371</v>
      </c>
      <c r="B16" s="63" t="s">
        <v>840</v>
      </c>
      <c r="C16" s="64" t="n">
        <f aca="false">SUM(E16:P16)</f>
        <v>2292146.03335691</v>
      </c>
      <c r="D16" s="64" t="n">
        <f aca="false">SUM(Q16:AB16)</f>
        <v>2845748.14308978</v>
      </c>
      <c r="E16" s="65" t="n">
        <f aca="false">Subscriptions!E58</f>
        <v>174978.24</v>
      </c>
      <c r="F16" s="65" t="n">
        <f aca="false">Subscriptions!F58</f>
        <v>177795.19</v>
      </c>
      <c r="G16" s="65" t="n">
        <f aca="false">Subscriptions!G58</f>
        <v>182441.8</v>
      </c>
      <c r="H16" s="65" t="n">
        <f aca="false">Subscriptions!H58</f>
        <v>185266.36</v>
      </c>
      <c r="I16" s="65" t="n">
        <f aca="false">Subscriptions!I58</f>
        <v>186670.07</v>
      </c>
      <c r="J16" s="65" t="n">
        <f aca="false">Subscriptions!J58</f>
        <v>188010.67</v>
      </c>
      <c r="K16" s="65" t="n">
        <f aca="false">Subscriptions!K58</f>
        <v>193092.08</v>
      </c>
      <c r="L16" s="65" t="n">
        <f aca="false">Subscriptions!L58</f>
        <v>193793.2</v>
      </c>
      <c r="M16" s="65" t="n">
        <f aca="false">Subscriptions!M58</f>
        <v>197510.54199</v>
      </c>
      <c r="N16" s="65" t="n">
        <f aca="false">Subscriptions!N58</f>
        <v>201389.981659303</v>
      </c>
      <c r="O16" s="65" t="n">
        <f aca="false">Subscriptions!O58</f>
        <v>204577.130406235</v>
      </c>
      <c r="P16" s="65" t="n">
        <f aca="false">Subscriptions!P58</f>
        <v>206620.769301376</v>
      </c>
      <c r="Q16" s="65" t="n">
        <f aca="false">Subscriptions!Q58</f>
        <v>221529.16542104</v>
      </c>
      <c r="R16" s="65" t="n">
        <f aca="false">Subscriptions!R58</f>
        <v>225107.101002617</v>
      </c>
      <c r="S16" s="65" t="n">
        <f aca="false">Subscriptions!S58</f>
        <v>228435.848599049</v>
      </c>
      <c r="T16" s="65" t="n">
        <f aca="false">Subscriptions!T58</f>
        <v>231378.848655521</v>
      </c>
      <c r="U16" s="65" t="n">
        <f aca="false">Subscriptions!U58</f>
        <v>234298.743785971</v>
      </c>
      <c r="V16" s="65" t="n">
        <f aca="false">Subscriptions!V58</f>
        <v>236849.87830248</v>
      </c>
      <c r="W16" s="65" t="n">
        <f aca="false">Subscriptions!W58</f>
        <v>238726.323980879</v>
      </c>
      <c r="X16" s="65" t="n">
        <f aca="false">Subscriptions!X58</f>
        <v>239484.052549134</v>
      </c>
      <c r="Y16" s="65" t="n">
        <f aca="false">Subscriptions!Y58</f>
        <v>242896.501665807</v>
      </c>
      <c r="Z16" s="65" t="n">
        <f aca="false">Subscriptions!Z58</f>
        <v>246515.843407558</v>
      </c>
      <c r="AA16" s="65" t="n">
        <f aca="false">Subscriptions!AA58</f>
        <v>249407.831021413</v>
      </c>
      <c r="AB16" s="65" t="n">
        <f aca="false">Subscriptions!AB58</f>
        <v>251118.00469831</v>
      </c>
    </row>
    <row r="17" customFormat="false" ht="15" hidden="false" customHeight="false" outlineLevel="0" collapsed="false">
      <c r="A17" s="28" t="s">
        <v>372</v>
      </c>
      <c r="B17" s="63" t="s">
        <v>840</v>
      </c>
      <c r="C17" s="64" t="n">
        <f aca="false">SUM(E17:P17)</f>
        <v>2191823.57719565</v>
      </c>
      <c r="D17" s="64" t="n">
        <f aca="false">SUM(Q17:AB17)</f>
        <v>2832261.44395086</v>
      </c>
      <c r="E17" s="65" t="n">
        <f aca="false">Subscriptions!E183</f>
        <v>161537.76</v>
      </c>
      <c r="F17" s="65" t="n">
        <f aca="false">Subscriptions!F183</f>
        <v>164221.87</v>
      </c>
      <c r="G17" s="65" t="n">
        <f aca="false">Subscriptions!G183</f>
        <v>168175.09</v>
      </c>
      <c r="H17" s="65" t="n">
        <f aca="false">Subscriptions!H183</f>
        <v>173607.3</v>
      </c>
      <c r="I17" s="65" t="n">
        <f aca="false">Subscriptions!I183</f>
        <v>174737.86</v>
      </c>
      <c r="J17" s="65" t="n">
        <f aca="false">Subscriptions!J183</f>
        <v>179786.18</v>
      </c>
      <c r="K17" s="65" t="n">
        <f aca="false">Subscriptions!K183</f>
        <v>183863.96</v>
      </c>
      <c r="L17" s="65" t="n">
        <f aca="false">Subscriptions!L183</f>
        <v>187368.91</v>
      </c>
      <c r="M17" s="65" t="n">
        <f aca="false">Subscriptions!M183</f>
        <v>192436.78119128</v>
      </c>
      <c r="N17" s="65" t="n">
        <f aca="false">Subscriptions!N183</f>
        <v>197733.437557769</v>
      </c>
      <c r="O17" s="65" t="n">
        <f aca="false">Subscriptions!O183</f>
        <v>202185.41245898</v>
      </c>
      <c r="P17" s="65" t="n">
        <f aca="false">Subscriptions!P183</f>
        <v>206169.015987616</v>
      </c>
      <c r="Q17" s="65" t="n">
        <f aca="false">Subscriptions!Q183</f>
        <v>210929.915137777</v>
      </c>
      <c r="R17" s="65" t="n">
        <f aca="false">Subscriptions!R183</f>
        <v>215919.185320842</v>
      </c>
      <c r="S17" s="65" t="n">
        <f aca="false">Subscriptions!S183</f>
        <v>220398.149792098</v>
      </c>
      <c r="T17" s="65" t="n">
        <f aca="false">Subscriptions!T183</f>
        <v>224921.647227816</v>
      </c>
      <c r="U17" s="65" t="n">
        <f aca="false">Subscriptions!U183</f>
        <v>229684.216038077</v>
      </c>
      <c r="V17" s="65" t="n">
        <f aca="false">Subscriptions!V183</f>
        <v>234194.714753691</v>
      </c>
      <c r="W17" s="65" t="n">
        <f aca="false">Subscriptions!W183</f>
        <v>238178.354248375</v>
      </c>
      <c r="X17" s="65" t="n">
        <f aca="false">Subscriptions!X183</f>
        <v>241582.221397932</v>
      </c>
      <c r="Y17" s="65" t="n">
        <f aca="false">Subscriptions!Y183</f>
        <v>246633.176101812</v>
      </c>
      <c r="Z17" s="65" t="n">
        <f aca="false">Subscriptions!Z183</f>
        <v>251903.4488387</v>
      </c>
      <c r="AA17" s="65" t="n">
        <f aca="false">Subscriptions!AA183</f>
        <v>256795.226601984</v>
      </c>
      <c r="AB17" s="65" t="n">
        <f aca="false">Subscriptions!AB183</f>
        <v>261121.188491756</v>
      </c>
    </row>
    <row r="18" customFormat="false" ht="15" hidden="false" customHeight="false" outlineLevel="0" collapsed="false">
      <c r="A18" s="28" t="s">
        <v>373</v>
      </c>
      <c r="B18" s="63" t="s">
        <v>840</v>
      </c>
      <c r="C18" s="64" t="n">
        <f aca="false">SUM(E18:P18)</f>
        <v>1759082.28732016</v>
      </c>
      <c r="D18" s="64" t="n">
        <f aca="false">SUM(Q18:AB18)</f>
        <v>2142903.16131394</v>
      </c>
      <c r="E18" s="65" t="n">
        <f aca="false">Enterprise!E39</f>
        <v>136166.76</v>
      </c>
      <c r="F18" s="65" t="n">
        <f aca="false">Enterprise!F39</f>
        <v>129278.44</v>
      </c>
      <c r="G18" s="65" t="n">
        <f aca="false">Enterprise!G39</f>
        <v>131583.25</v>
      </c>
      <c r="H18" s="65" t="n">
        <f aca="false">Enterprise!H39</f>
        <v>143348.3</v>
      </c>
      <c r="I18" s="65" t="n">
        <f aca="false">Enterprise!I39</f>
        <v>145028.7</v>
      </c>
      <c r="J18" s="65" t="n">
        <f aca="false">Enterprise!J39</f>
        <v>146087.19</v>
      </c>
      <c r="K18" s="65" t="n">
        <f aca="false">Enterprise!K39</f>
        <v>152311.25</v>
      </c>
      <c r="L18" s="65" t="n">
        <f aca="false">Enterprise!L39</f>
        <v>152311.25</v>
      </c>
      <c r="M18" s="65" t="n">
        <f aca="false">Enterprise!M39</f>
        <v>152476.30100764</v>
      </c>
      <c r="N18" s="65" t="n">
        <f aca="false">Enterprise!N39</f>
        <v>152445.14903844</v>
      </c>
      <c r="O18" s="65" t="n">
        <f aca="false">Enterprise!O39</f>
        <v>156772.84863704</v>
      </c>
      <c r="P18" s="65" t="n">
        <f aca="false">Enterprise!P39</f>
        <v>161272.84863704</v>
      </c>
      <c r="Q18" s="65" t="n">
        <f aca="false">Enterprise!Q39</f>
        <v>161864.01254254</v>
      </c>
      <c r="R18" s="65" t="n">
        <f aca="false">Enterprise!R39</f>
        <v>164564.01254254</v>
      </c>
      <c r="S18" s="65" t="n">
        <f aca="false">Enterprise!S39</f>
        <v>167990.73787769</v>
      </c>
      <c r="T18" s="65" t="n">
        <f aca="false">Enterprise!T39</f>
        <v>171343.27573849</v>
      </c>
      <c r="U18" s="65" t="n">
        <f aca="false">Enterprise!U39</f>
        <v>171494.07241825</v>
      </c>
      <c r="V18" s="65" t="n">
        <f aca="false">Enterprise!V39</f>
        <v>175237.43135429</v>
      </c>
      <c r="W18" s="65" t="n">
        <f aca="false">Enterprise!W39</f>
        <v>179050.93564197</v>
      </c>
      <c r="X18" s="65" t="n">
        <f aca="false">Enterprise!X39</f>
        <v>182725.93564197</v>
      </c>
      <c r="Y18" s="65" t="n">
        <f aca="false">Enterprise!Y39</f>
        <v>186570.980931254</v>
      </c>
      <c r="Z18" s="65" t="n">
        <f aca="false">Enterprise!Z39</f>
        <v>190214.946841106</v>
      </c>
      <c r="AA18" s="65" t="n">
        <f aca="false">Enterprise!AA39</f>
        <v>194024.203641923</v>
      </c>
      <c r="AB18" s="65" t="n">
        <f aca="false">Enterprise!AB39</f>
        <v>197822.616141923</v>
      </c>
    </row>
    <row r="19" customFormat="false" ht="15" hidden="false" customHeight="false" outlineLevel="0" collapsed="false">
      <c r="A19" s="59" t="s">
        <v>374</v>
      </c>
      <c r="B19" s="60"/>
      <c r="C19" s="61" t="n">
        <f aca="false">SUM(E19:P19)</f>
        <v>6243051.89787272</v>
      </c>
      <c r="D19" s="61" t="n">
        <f aca="false">SUM(Q19:AB19)</f>
        <v>7820912.74835458</v>
      </c>
      <c r="E19" s="61" t="n">
        <f aca="false">E16+E17+E18</f>
        <v>472682.76</v>
      </c>
      <c r="F19" s="61" t="n">
        <f aca="false">F16+F17+F18</f>
        <v>471295.5</v>
      </c>
      <c r="G19" s="61" t="n">
        <f aca="false">G16+G17+G18</f>
        <v>482200.14</v>
      </c>
      <c r="H19" s="61" t="n">
        <f aca="false">H16+H17+H18</f>
        <v>502221.96</v>
      </c>
      <c r="I19" s="61" t="n">
        <f aca="false">I16+I17+I18</f>
        <v>506436.63</v>
      </c>
      <c r="J19" s="61" t="n">
        <f aca="false">J16+J17+J18</f>
        <v>513884.04</v>
      </c>
      <c r="K19" s="61" t="n">
        <f aca="false">K16+K17+K18</f>
        <v>529267.29</v>
      </c>
      <c r="L19" s="61" t="n">
        <f aca="false">L16+L17+L18</f>
        <v>533473.36</v>
      </c>
      <c r="M19" s="61" t="n">
        <f aca="false">M16+M17+M18</f>
        <v>542423.62418892</v>
      </c>
      <c r="N19" s="61" t="n">
        <f aca="false">N16+N17+N18</f>
        <v>551568.568255512</v>
      </c>
      <c r="O19" s="61" t="n">
        <f aca="false">O16+O17+O18</f>
        <v>563535.391502256</v>
      </c>
      <c r="P19" s="61" t="n">
        <f aca="false">P16+P17+P18</f>
        <v>574062.633926032</v>
      </c>
      <c r="Q19" s="61" t="n">
        <f aca="false">Q16+Q17+Q18</f>
        <v>594323.093101357</v>
      </c>
      <c r="R19" s="61" t="n">
        <f aca="false">R16+R17+R18</f>
        <v>605590.298865999</v>
      </c>
      <c r="S19" s="61" t="n">
        <f aca="false">S16+S17+S18</f>
        <v>616824.736268837</v>
      </c>
      <c r="T19" s="61" t="n">
        <f aca="false">T16+T17+T18</f>
        <v>627643.771621827</v>
      </c>
      <c r="U19" s="61" t="n">
        <f aca="false">U16+U17+U18</f>
        <v>635477.032242298</v>
      </c>
      <c r="V19" s="61" t="n">
        <f aca="false">V16+V17+V18</f>
        <v>646282.024410461</v>
      </c>
      <c r="W19" s="61" t="n">
        <f aca="false">W16+W17+W18</f>
        <v>655955.613871223</v>
      </c>
      <c r="X19" s="61" t="n">
        <f aca="false">X16+X17+X18</f>
        <v>663792.209589036</v>
      </c>
      <c r="Y19" s="61" t="n">
        <f aca="false">Y16+Y17+Y18</f>
        <v>676100.658698874</v>
      </c>
      <c r="Z19" s="61" t="n">
        <f aca="false">Z16+Z17+Z18</f>
        <v>688634.239087364</v>
      </c>
      <c r="AA19" s="61" t="n">
        <f aca="false">AA16+AA17+AA18</f>
        <v>700227.26126532</v>
      </c>
      <c r="AB19" s="61" t="n">
        <f aca="false">AB16+AB17+AB18</f>
        <v>710061.809331988</v>
      </c>
    </row>
    <row r="20" customFormat="false" ht="15" hidden="false" customHeight="false" outlineLevel="0" collapsed="false">
      <c r="A20" s="28" t="s">
        <v>841</v>
      </c>
      <c r="B20" s="63" t="s">
        <v>842</v>
      </c>
      <c r="C20" s="64" t="n">
        <f aca="false">SUM(E20:P20)</f>
        <v>182921.14375</v>
      </c>
      <c r="D20" s="64" t="n">
        <f aca="false">SUM(Q20:AB20)</f>
        <v>207656.740104167</v>
      </c>
      <c r="E20" s="65" t="n">
        <f aca="false">(SUM(E12:E13)+SUM(History!$D$28:$N$28)+SUM(History!$D$40:$N$40))/12</f>
        <v>12958.3333333333</v>
      </c>
      <c r="F20" s="65" t="n">
        <f aca="false">(SUM(E12:F13)+SUM(History!$E$28:$N$28)+SUM(History!$E$40:$N$40))/12</f>
        <v>13591.6666666667</v>
      </c>
      <c r="G20" s="65" t="n">
        <f aca="false">(SUM(E12:G13)+SUM(History!$F$28:$N$28)+SUM(History!$F$40:$N$40))/12</f>
        <v>13050</v>
      </c>
      <c r="H20" s="65" t="n">
        <f aca="false">(SUM(E12:H13)+SUM(History!$G$28:$N$28)+SUM(History!$G$40:$N$40))/12</f>
        <v>16025</v>
      </c>
      <c r="I20" s="65" t="n">
        <f aca="false">(SUM(E12:I13)+SUM(History!$H$28:$N$28)+SUM(History!$H$40:$N$40))/12</f>
        <v>14733.3333333333</v>
      </c>
      <c r="J20" s="65" t="n">
        <f aca="false">(SUM(E12:J13)+SUM(History!$I$28:$N$28)+SUM(History!$I$40:$N$40))/12</f>
        <v>15566.6666666667</v>
      </c>
      <c r="K20" s="65" t="n">
        <f aca="false">(SUM(E12:K13)+SUM(History!$J$28:$N$28)+SUM(History!$J$40:$N$40))/12</f>
        <v>15566.6666666667</v>
      </c>
      <c r="L20" s="65" t="n">
        <f aca="false">(SUM(E12:L13)+SUM(History!$K$28:$N$28)+SUM(History!$K$40:$N$40))/12</f>
        <v>15808.3333333333</v>
      </c>
      <c r="M20" s="65" t="n">
        <f aca="false">(SUM(E12:M13)+SUM(History!$L$28:$N$28)+SUM(History!$L$40:$N$40))/12</f>
        <v>15488.60625</v>
      </c>
      <c r="N20" s="65" t="n">
        <f aca="false">(SUM(E12:N13)+SUM(History!$M$28:$N$28)+SUM(History!$M$40:$N$40))/12</f>
        <v>16453.3020833333</v>
      </c>
      <c r="O20" s="65" t="n">
        <f aca="false">(SUM(E12:O13)+SUM(History!$N$28:$N$28)+SUM(History!$N$40:$N$40))/12</f>
        <v>16315.23125</v>
      </c>
      <c r="P20" s="74" t="n">
        <f aca="false">(SUM(E12:P13))/12</f>
        <v>17364.0041666667</v>
      </c>
      <c r="Q20" s="74" t="n">
        <f aca="false">(SUM(F12:Q13))/12</f>
        <v>17192.4294791667</v>
      </c>
      <c r="R20" s="74" t="n">
        <f aca="false">(SUM(G12:R13))/12</f>
        <v>17835.8827083333</v>
      </c>
      <c r="S20" s="74" t="n">
        <f aca="false">(SUM(H12:S13))/12</f>
        <v>17993.8272916667</v>
      </c>
      <c r="T20" s="74" t="n">
        <f aca="false">(SUM(I12:T13))/12</f>
        <v>16148.2360416667</v>
      </c>
      <c r="U20" s="74" t="n">
        <f aca="false">(SUM(J12:U13))/12</f>
        <v>16427.6447916667</v>
      </c>
      <c r="V20" s="74" t="n">
        <f aca="false">(SUM(K12:V13))/12</f>
        <v>17120.184375</v>
      </c>
      <c r="W20" s="74" t="n">
        <f aca="false">(SUM(L12:W13))/12</f>
        <v>16555.5626041667</v>
      </c>
      <c r="X20" s="74" t="n">
        <f aca="false">(SUM(M12:X13))/12</f>
        <v>16795.5497916667</v>
      </c>
      <c r="Y20" s="74" t="n">
        <f aca="false">(SUM(N12:Y13))/12</f>
        <v>17508.7301041667</v>
      </c>
      <c r="Z20" s="74" t="n">
        <f aca="false">(SUM(O12:Z13))/12</f>
        <v>18223.6315625</v>
      </c>
      <c r="AA20" s="74" t="n">
        <f aca="false">(SUM(P12:AA13))/12</f>
        <v>18034.2280208333</v>
      </c>
      <c r="AB20" s="74" t="n">
        <f aca="false">(SUM(Q12:AB13))/12</f>
        <v>17820.8333333333</v>
      </c>
    </row>
    <row r="21" customFormat="false" ht="15" hidden="false" customHeight="false" outlineLevel="0" collapsed="false">
      <c r="A21" s="59" t="s">
        <v>843</v>
      </c>
      <c r="B21" s="60"/>
      <c r="C21" s="61" t="n">
        <f aca="false">SUM(E21:P21)</f>
        <v>6425973.04162272</v>
      </c>
      <c r="D21" s="61" t="n">
        <f aca="false">SUM(Q21:AB21)</f>
        <v>8028569.48845875</v>
      </c>
      <c r="E21" s="61" t="n">
        <f aca="false">E19+E20</f>
        <v>485641.093333333</v>
      </c>
      <c r="F21" s="61" t="n">
        <f aca="false">F19+F20</f>
        <v>484887.166666667</v>
      </c>
      <c r="G21" s="61" t="n">
        <f aca="false">G19+G20</f>
        <v>495250.14</v>
      </c>
      <c r="H21" s="61" t="n">
        <f aca="false">H19+H20</f>
        <v>518246.96</v>
      </c>
      <c r="I21" s="61" t="n">
        <f aca="false">I19+I20</f>
        <v>521169.963333333</v>
      </c>
      <c r="J21" s="61" t="n">
        <f aca="false">J19+J20</f>
        <v>529450.706666667</v>
      </c>
      <c r="K21" s="61" t="n">
        <f aca="false">K19+K20</f>
        <v>544833.956666667</v>
      </c>
      <c r="L21" s="61" t="n">
        <f aca="false">L19+L20</f>
        <v>549281.693333333</v>
      </c>
      <c r="M21" s="61" t="n">
        <f aca="false">M19+M20</f>
        <v>557912.23043892</v>
      </c>
      <c r="N21" s="61" t="n">
        <f aca="false">N19+N20</f>
        <v>568021.870338845</v>
      </c>
      <c r="O21" s="61" t="n">
        <f aca="false">O19+O20</f>
        <v>579850.622752256</v>
      </c>
      <c r="P21" s="61" t="n">
        <f aca="false">P19+P20</f>
        <v>591426.638092699</v>
      </c>
      <c r="Q21" s="61" t="n">
        <f aca="false">Q19+Q20</f>
        <v>611515.522580524</v>
      </c>
      <c r="R21" s="61" t="n">
        <f aca="false">R19+R20</f>
        <v>623426.181574332</v>
      </c>
      <c r="S21" s="61" t="n">
        <f aca="false">S19+S20</f>
        <v>634818.563560504</v>
      </c>
      <c r="T21" s="61" t="n">
        <f aca="false">T19+T20</f>
        <v>643792.007663493</v>
      </c>
      <c r="U21" s="61" t="n">
        <f aca="false">U19+U20</f>
        <v>651904.677033965</v>
      </c>
      <c r="V21" s="61" t="n">
        <f aca="false">V19+V20</f>
        <v>663402.208785461</v>
      </c>
      <c r="W21" s="61" t="n">
        <f aca="false">W19+W20</f>
        <v>672511.17647539</v>
      </c>
      <c r="X21" s="61" t="n">
        <f aca="false">X19+X20</f>
        <v>680587.759380703</v>
      </c>
      <c r="Y21" s="61" t="n">
        <f aca="false">Y19+Y20</f>
        <v>693609.388803041</v>
      </c>
      <c r="Z21" s="61" t="n">
        <f aca="false">Z19+Z20</f>
        <v>706857.870649864</v>
      </c>
      <c r="AA21" s="61" t="n">
        <f aca="false">AA19+AA20</f>
        <v>718261.489286153</v>
      </c>
      <c r="AB21" s="61" t="n">
        <f aca="false">AB19+AB20</f>
        <v>727882.642665321</v>
      </c>
    </row>
    <row r="22" customFormat="false" ht="15" hidden="false" customHeight="false" outlineLevel="0" collapsed="false">
      <c r="A22" s="22" t="s">
        <v>844</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row>
    <row r="23" customFormat="false" ht="15" hidden="false" customHeight="false" outlineLevel="0" collapsed="false">
      <c r="A23" s="28" t="s">
        <v>845</v>
      </c>
      <c r="B23" s="63"/>
      <c r="E23" s="65" t="n">
        <f aca="false">Inputs_Actuals!$C$331</f>
        <v>1369529.42</v>
      </c>
      <c r="F23" s="74" t="n">
        <f aca="false">E26</f>
        <v>1768251.47</v>
      </c>
      <c r="G23" s="74" t="n">
        <f aca="false">F26</f>
        <v>1628578.11</v>
      </c>
      <c r="H23" s="74" t="n">
        <f aca="false">G26</f>
        <v>1825551.27</v>
      </c>
      <c r="I23" s="74" t="n">
        <f aca="false">H26</f>
        <v>1935428.6</v>
      </c>
      <c r="J23" s="74" t="n">
        <f aca="false">I26</f>
        <v>1962163.21</v>
      </c>
      <c r="K23" s="74" t="n">
        <f aca="false">J26</f>
        <v>1977433.39</v>
      </c>
      <c r="L23" s="74" t="n">
        <f aca="false">K26</f>
        <v>2016189.54</v>
      </c>
      <c r="M23" s="74" t="n">
        <f aca="false">L26</f>
        <v>1832345.32</v>
      </c>
      <c r="N23" s="74" t="n">
        <f aca="false">M26</f>
        <v>1928689.50462812</v>
      </c>
      <c r="O23" s="74" t="n">
        <f aca="false">N26</f>
        <v>1858413.44451427</v>
      </c>
      <c r="P23" s="74" t="n">
        <f aca="false">O26</f>
        <v>1954658.4426478</v>
      </c>
      <c r="Q23" s="74" t="n">
        <f aca="false">P26</f>
        <v>1808943.83489503</v>
      </c>
      <c r="R23" s="74" t="n">
        <f aca="false">Q26</f>
        <v>2222529.98663996</v>
      </c>
      <c r="S23" s="74" t="n">
        <f aca="false">R26</f>
        <v>2087647.29917375</v>
      </c>
      <c r="T23" s="74" t="n">
        <f aca="false">S26</f>
        <v>2292858.33121694</v>
      </c>
      <c r="U23" s="74" t="n">
        <f aca="false">T26</f>
        <v>2420332.0990197</v>
      </c>
      <c r="V23" s="74" t="n">
        <f aca="false">U26</f>
        <v>2417549.19641898</v>
      </c>
      <c r="W23" s="74" t="n">
        <f aca="false">V26</f>
        <v>2442920.80500031</v>
      </c>
      <c r="X23" s="74" t="n">
        <f aca="false">W26</f>
        <v>2496111.3300149</v>
      </c>
      <c r="Y23" s="74" t="n">
        <f aca="false">X26</f>
        <v>2309286.62511926</v>
      </c>
      <c r="Z23" s="74" t="n">
        <f aca="false">Y26</f>
        <v>2422996.71737463</v>
      </c>
      <c r="AA23" s="74" t="n">
        <f aca="false">Z26</f>
        <v>2364989.58633437</v>
      </c>
      <c r="AB23" s="74" t="n">
        <f aca="false">AA26</f>
        <v>2471650.91012067</v>
      </c>
    </row>
    <row r="24" customFormat="false" ht="15" hidden="false" customHeight="false" outlineLevel="0" collapsed="false">
      <c r="A24" s="28" t="s">
        <v>846</v>
      </c>
      <c r="B24" s="63"/>
      <c r="C24" s="64" t="n">
        <f aca="false">SUM(E24:P24)</f>
        <v>4390320.27941084</v>
      </c>
      <c r="D24" s="64" t="n">
        <f aca="false">SUM(Q24:AB24)</f>
        <v>5493832.92448197</v>
      </c>
      <c r="E24" s="74" t="n">
        <f aca="false">E10+E11</f>
        <v>696426.57</v>
      </c>
      <c r="F24" s="74" t="n">
        <f aca="false">F10+F11</f>
        <v>153826.95</v>
      </c>
      <c r="G24" s="74" t="n">
        <f aca="false">G10+G11</f>
        <v>496731.5</v>
      </c>
      <c r="H24" s="74" t="n">
        <f aca="false">H10+H11</f>
        <v>426832.93</v>
      </c>
      <c r="I24" s="74" t="n">
        <f aca="false">I10+I11</f>
        <v>346501.17</v>
      </c>
      <c r="J24" s="74" t="n">
        <f aca="false">J10+J11</f>
        <v>341143.55</v>
      </c>
      <c r="K24" s="74" t="n">
        <f aca="false">K10+K11</f>
        <v>374931.36</v>
      </c>
      <c r="L24" s="74" t="n">
        <f aca="false">L10+L11</f>
        <v>155835.94</v>
      </c>
      <c r="M24" s="74" t="n">
        <f aca="false">M10+M11</f>
        <v>441257.26682704</v>
      </c>
      <c r="N24" s="74" t="n">
        <f aca="false">N10+N11</f>
        <v>279902.526482356</v>
      </c>
      <c r="O24" s="74" t="n">
        <f aca="false">O10+O11</f>
        <v>455203.259229551</v>
      </c>
      <c r="P24" s="74" t="n">
        <f aca="false">P10+P11</f>
        <v>221727.256871894</v>
      </c>
      <c r="Q24" s="74" t="n">
        <f aca="false">Q10+Q11</f>
        <v>786380.079425246</v>
      </c>
      <c r="R24" s="74" t="n">
        <f aca="false">R10+R11</f>
        <v>245600.510397167</v>
      </c>
      <c r="S24" s="74" t="n">
        <f aca="false">S10+S11</f>
        <v>593599.919712983</v>
      </c>
      <c r="T24" s="74" t="n">
        <f aca="false">T10+T11</f>
        <v>523738.690769058</v>
      </c>
      <c r="U24" s="74" t="n">
        <f aca="false">U10+U11</f>
        <v>398395.385855608</v>
      </c>
      <c r="V24" s="74" t="n">
        <f aca="false">V10+V11</f>
        <v>434803.754689311</v>
      </c>
      <c r="W24" s="74" t="n">
        <f aca="false">W10+W11</f>
        <v>470419.814904939</v>
      </c>
      <c r="X24" s="74" t="n">
        <f aca="false">X10+X11</f>
        <v>237483.452144259</v>
      </c>
      <c r="Y24" s="74" t="n">
        <f aca="false">Y10+Y11</f>
        <v>546914.249288435</v>
      </c>
      <c r="Z24" s="74" t="n">
        <f aca="false">Z10+Z11</f>
        <v>384111.264639545</v>
      </c>
      <c r="AA24" s="74" t="n">
        <f aca="false">AA10+AA11</f>
        <v>557480.754030206</v>
      </c>
      <c r="AB24" s="74" t="n">
        <f aca="false">AB10+AB11</f>
        <v>314905.048625217</v>
      </c>
    </row>
    <row r="25" customFormat="false" ht="15" hidden="false" customHeight="false" outlineLevel="0" collapsed="false">
      <c r="A25" s="28" t="s">
        <v>847</v>
      </c>
      <c r="B25" s="63"/>
      <c r="C25" s="64" t="n">
        <f aca="false">SUM(E25:P25)</f>
        <v>-3950905.86451581</v>
      </c>
      <c r="D25" s="64" t="n">
        <f aca="false">SUM(Q25:AB25)</f>
        <v>-4975164.6052648</v>
      </c>
      <c r="E25" s="74" t="n">
        <f aca="false">-(E17+E18)</f>
        <v>-297704.52</v>
      </c>
      <c r="F25" s="74" t="n">
        <f aca="false">-(F17+F18)</f>
        <v>-293500.31</v>
      </c>
      <c r="G25" s="74" t="n">
        <f aca="false">-(G17+G18)</f>
        <v>-299758.34</v>
      </c>
      <c r="H25" s="74" t="n">
        <f aca="false">-(H17+H18)</f>
        <v>-316955.6</v>
      </c>
      <c r="I25" s="74" t="n">
        <f aca="false">-(I17+I18)</f>
        <v>-319766.56</v>
      </c>
      <c r="J25" s="74" t="n">
        <f aca="false">-(J17+J18)</f>
        <v>-325873.37</v>
      </c>
      <c r="K25" s="74" t="n">
        <f aca="false">-(K17+K18)</f>
        <v>-336175.21</v>
      </c>
      <c r="L25" s="74" t="n">
        <f aca="false">-(L17+L18)</f>
        <v>-339680.16</v>
      </c>
      <c r="M25" s="74" t="n">
        <f aca="false">-(M17+M18)</f>
        <v>-344913.08219892</v>
      </c>
      <c r="N25" s="74" t="n">
        <f aca="false">-(N17+N18)</f>
        <v>-350178.586596209</v>
      </c>
      <c r="O25" s="74" t="n">
        <f aca="false">-(O17+O18)</f>
        <v>-358958.26109602</v>
      </c>
      <c r="P25" s="74" t="n">
        <f aca="false">-(P17+P18)</f>
        <v>-367441.864624656</v>
      </c>
      <c r="Q25" s="74" t="n">
        <f aca="false">-(Q17+Q18)</f>
        <v>-372793.927680317</v>
      </c>
      <c r="R25" s="74" t="n">
        <f aca="false">-(R17+R18)</f>
        <v>-380483.197863382</v>
      </c>
      <c r="S25" s="74" t="n">
        <f aca="false">-(S17+S18)</f>
        <v>-388388.887669788</v>
      </c>
      <c r="T25" s="74" t="n">
        <f aca="false">-(T17+T18)</f>
        <v>-396264.922966306</v>
      </c>
      <c r="U25" s="74" t="n">
        <f aca="false">-(U17+U18)</f>
        <v>-401178.288456327</v>
      </c>
      <c r="V25" s="74" t="n">
        <f aca="false">-(V17+V18)</f>
        <v>-409432.146107981</v>
      </c>
      <c r="W25" s="74" t="n">
        <f aca="false">-(W17+W18)</f>
        <v>-417229.289890345</v>
      </c>
      <c r="X25" s="74" t="n">
        <f aca="false">-(X17+X18)</f>
        <v>-424308.157039902</v>
      </c>
      <c r="Y25" s="74" t="n">
        <f aca="false">-(Y17+Y18)</f>
        <v>-433204.157033067</v>
      </c>
      <c r="Z25" s="74" t="n">
        <f aca="false">-(Z17+Z18)</f>
        <v>-442118.395679806</v>
      </c>
      <c r="AA25" s="74" t="n">
        <f aca="false">-(AA17+AA18)</f>
        <v>-450819.430243906</v>
      </c>
      <c r="AB25" s="74" t="n">
        <f aca="false">-(AB17+AB18)</f>
        <v>-458943.804633678</v>
      </c>
    </row>
    <row r="26" customFormat="false" ht="15" hidden="false" customHeight="false" outlineLevel="0" collapsed="false">
      <c r="A26" s="59" t="s">
        <v>848</v>
      </c>
      <c r="B26" s="60"/>
      <c r="C26" s="61" t="n">
        <f aca="false">P26</f>
        <v>1808943.83489503</v>
      </c>
      <c r="D26" s="61" t="n">
        <f aca="false">AB26</f>
        <v>2327612.15411221</v>
      </c>
      <c r="E26" s="61" t="n">
        <f aca="false">E23+E24+E25</f>
        <v>1768251.47</v>
      </c>
      <c r="F26" s="61" t="n">
        <f aca="false">F23+F24+F25</f>
        <v>1628578.11</v>
      </c>
      <c r="G26" s="61" t="n">
        <f aca="false">G23+G24+G25</f>
        <v>1825551.27</v>
      </c>
      <c r="H26" s="61" t="n">
        <f aca="false">H23+H24+H25</f>
        <v>1935428.6</v>
      </c>
      <c r="I26" s="61" t="n">
        <f aca="false">I23+I24+I25</f>
        <v>1962163.21</v>
      </c>
      <c r="J26" s="61" t="n">
        <f aca="false">J23+J24+J25</f>
        <v>1977433.39</v>
      </c>
      <c r="K26" s="61" t="n">
        <f aca="false">K23+K24+K25</f>
        <v>2016189.54</v>
      </c>
      <c r="L26" s="61" t="n">
        <f aca="false">L23+L24+L25</f>
        <v>1832345.32</v>
      </c>
      <c r="M26" s="61" t="n">
        <f aca="false">M23+M24+M25</f>
        <v>1928689.50462812</v>
      </c>
      <c r="N26" s="61" t="n">
        <f aca="false">N23+N24+N25</f>
        <v>1858413.44451427</v>
      </c>
      <c r="O26" s="61" t="n">
        <f aca="false">O23+O24+O25</f>
        <v>1954658.4426478</v>
      </c>
      <c r="P26" s="61" t="n">
        <f aca="false">P23+P24+P25</f>
        <v>1808943.83489503</v>
      </c>
      <c r="Q26" s="61" t="n">
        <f aca="false">Q23+Q24+Q25</f>
        <v>2222529.98663996</v>
      </c>
      <c r="R26" s="61" t="n">
        <f aca="false">R23+R24+R25</f>
        <v>2087647.29917375</v>
      </c>
      <c r="S26" s="61" t="n">
        <f aca="false">S23+S24+S25</f>
        <v>2292858.33121694</v>
      </c>
      <c r="T26" s="61" t="n">
        <f aca="false">T23+T24+T25</f>
        <v>2420332.0990197</v>
      </c>
      <c r="U26" s="61" t="n">
        <f aca="false">U23+U24+U25</f>
        <v>2417549.19641898</v>
      </c>
      <c r="V26" s="61" t="n">
        <f aca="false">V23+V24+V25</f>
        <v>2442920.80500031</v>
      </c>
      <c r="W26" s="61" t="n">
        <f aca="false">W23+W24+W25</f>
        <v>2496111.3300149</v>
      </c>
      <c r="X26" s="61" t="n">
        <f aca="false">X23+X24+X25</f>
        <v>2309286.62511926</v>
      </c>
      <c r="Y26" s="61" t="n">
        <f aca="false">Y23+Y24+Y25</f>
        <v>2422996.71737463</v>
      </c>
      <c r="Z26" s="61" t="n">
        <f aca="false">Z23+Z24+Z25</f>
        <v>2364989.58633437</v>
      </c>
      <c r="AA26" s="61" t="n">
        <f aca="false">AA23+AA24+AA25</f>
        <v>2471650.91012067</v>
      </c>
      <c r="AB26" s="61" t="n">
        <f aca="false">AB23+AB24+AB25</f>
        <v>2327612.15411221</v>
      </c>
    </row>
    <row r="27" customFormat="false" ht="15" hidden="false" customHeight="false" outlineLevel="0" collapsed="false">
      <c r="A27" s="28" t="s">
        <v>849</v>
      </c>
      <c r="B27" s="63" t="s">
        <v>850</v>
      </c>
      <c r="C27" s="64" t="n">
        <f aca="false">P27</f>
        <v>1808943.83489504</v>
      </c>
      <c r="D27" s="64" t="n">
        <f aca="false">AB27</f>
        <v>2327612.15411221</v>
      </c>
      <c r="E27" s="65" t="n">
        <f aca="false">Subscriptions!E260+Enterprise!E116</f>
        <v>1768251.47</v>
      </c>
      <c r="F27" s="65" t="n">
        <f aca="false">Subscriptions!F260+Enterprise!F116</f>
        <v>1628578.11</v>
      </c>
      <c r="G27" s="65" t="n">
        <f aca="false">Subscriptions!G260+Enterprise!G116</f>
        <v>1825551.27</v>
      </c>
      <c r="H27" s="65" t="n">
        <f aca="false">Subscriptions!H260+Enterprise!H116</f>
        <v>1935428.6</v>
      </c>
      <c r="I27" s="65" t="n">
        <f aca="false">Subscriptions!I260+Enterprise!I116</f>
        <v>1962163.21</v>
      </c>
      <c r="J27" s="65" t="n">
        <f aca="false">Subscriptions!J260+Enterprise!J116</f>
        <v>1977433.39</v>
      </c>
      <c r="K27" s="65" t="n">
        <f aca="false">Subscriptions!K260+Enterprise!K116</f>
        <v>2016189.54</v>
      </c>
      <c r="L27" s="65" t="n">
        <f aca="false">Subscriptions!L260+Enterprise!L116</f>
        <v>1832345.32</v>
      </c>
      <c r="M27" s="65" t="n">
        <f aca="false">Subscriptions!M260+Enterprise!M116</f>
        <v>1928689.50462812</v>
      </c>
      <c r="N27" s="65" t="n">
        <f aca="false">Subscriptions!N260+Enterprise!N116</f>
        <v>1858413.44451427</v>
      </c>
      <c r="O27" s="65" t="n">
        <f aca="false">Subscriptions!O260+Enterprise!O116</f>
        <v>1954658.4426478</v>
      </c>
      <c r="P27" s="65" t="n">
        <f aca="false">Subscriptions!P260+Enterprise!P116</f>
        <v>1808943.83489504</v>
      </c>
      <c r="Q27" s="65" t="n">
        <f aca="false">Subscriptions!Q260+Enterprise!Q116</f>
        <v>2222529.98663996</v>
      </c>
      <c r="R27" s="65" t="n">
        <f aca="false">Subscriptions!R260+Enterprise!R116</f>
        <v>2087647.29917375</v>
      </c>
      <c r="S27" s="65" t="n">
        <f aca="false">Subscriptions!S260+Enterprise!S116</f>
        <v>2292858.33121694</v>
      </c>
      <c r="T27" s="65" t="n">
        <f aca="false">Subscriptions!T260+Enterprise!T116</f>
        <v>2420332.0990197</v>
      </c>
      <c r="U27" s="65" t="n">
        <f aca="false">Subscriptions!U260+Enterprise!U116</f>
        <v>2417549.19641898</v>
      </c>
      <c r="V27" s="65" t="n">
        <f aca="false">Subscriptions!V260+Enterprise!V116</f>
        <v>2442920.80500031</v>
      </c>
      <c r="W27" s="65" t="n">
        <f aca="false">Subscriptions!W260+Enterprise!W116</f>
        <v>2496111.3300149</v>
      </c>
      <c r="X27" s="65" t="n">
        <f aca="false">Subscriptions!X260+Enterprise!X116</f>
        <v>2309286.62511926</v>
      </c>
      <c r="Y27" s="65" t="n">
        <f aca="false">Subscriptions!Y260+Enterprise!Y116</f>
        <v>2422996.71737463</v>
      </c>
      <c r="Z27" s="65" t="n">
        <f aca="false">Subscriptions!Z260+Enterprise!Z116</f>
        <v>2364989.58633437</v>
      </c>
      <c r="AA27" s="65" t="n">
        <f aca="false">Subscriptions!AA260+Enterprise!AA116</f>
        <v>2471650.91012067</v>
      </c>
      <c r="AB27" s="65" t="n">
        <f aca="false">Subscriptions!AB260+Enterprise!AB116</f>
        <v>2327612.15411221</v>
      </c>
    </row>
    <row r="28" customFormat="false" ht="15" hidden="false" customHeight="false" outlineLevel="0" collapsed="false">
      <c r="A28" s="28" t="s">
        <v>851</v>
      </c>
      <c r="B28" s="63"/>
      <c r="C28" s="64" t="n">
        <f aca="false">SUM(E28:P28)</f>
        <v>0</v>
      </c>
      <c r="D28" s="64" t="n">
        <f aca="false">SUM(Q28:AB28)</f>
        <v>0</v>
      </c>
      <c r="E28" s="74" t="n">
        <f aca="false">ROUND(E26-E27,0)</f>
        <v>0</v>
      </c>
      <c r="F28" s="74" t="n">
        <f aca="false">ROUND(F26-F27,0)</f>
        <v>0</v>
      </c>
      <c r="G28" s="74" t="n">
        <f aca="false">ROUND(G26-G27,0)</f>
        <v>0</v>
      </c>
      <c r="H28" s="74" t="n">
        <f aca="false">ROUND(H26-H27,0)</f>
        <v>0</v>
      </c>
      <c r="I28" s="74" t="n">
        <f aca="false">ROUND(I26-I27,0)</f>
        <v>0</v>
      </c>
      <c r="J28" s="74" t="n">
        <f aca="false">ROUND(J26-J27,0)</f>
        <v>0</v>
      </c>
      <c r="K28" s="74" t="n">
        <f aca="false">ROUND(K26-K27,0)</f>
        <v>0</v>
      </c>
      <c r="L28" s="74" t="n">
        <f aca="false">ROUND(L26-L27,0)</f>
        <v>0</v>
      </c>
      <c r="M28" s="74" t="n">
        <f aca="false">ROUND(M26-M27,0)</f>
        <v>0</v>
      </c>
      <c r="N28" s="74" t="n">
        <f aca="false">ROUND(N26-N27,0)</f>
        <v>0</v>
      </c>
      <c r="O28" s="74" t="n">
        <f aca="false">ROUND(O26-O27,0)</f>
        <v>0</v>
      </c>
      <c r="P28" s="74" t="n">
        <f aca="false">ROUND(P26-P27,0)</f>
        <v>0</v>
      </c>
      <c r="Q28" s="74" t="n">
        <f aca="false">ROUND(Q26-Q27,0)</f>
        <v>0</v>
      </c>
      <c r="R28" s="74" t="n">
        <f aca="false">ROUND(R26-R27,0)</f>
        <v>0</v>
      </c>
      <c r="S28" s="74" t="n">
        <f aca="false">ROUND(S26-S27,0)</f>
        <v>0</v>
      </c>
      <c r="T28" s="74" t="n">
        <f aca="false">ROUND(T26-T27,0)</f>
        <v>0</v>
      </c>
      <c r="U28" s="74" t="n">
        <f aca="false">ROUND(U26-U27,0)</f>
        <v>0</v>
      </c>
      <c r="V28" s="74" t="n">
        <f aca="false">ROUND(V26-V27,0)</f>
        <v>0</v>
      </c>
      <c r="W28" s="74" t="n">
        <f aca="false">ROUND(W26-W27,0)</f>
        <v>0</v>
      </c>
      <c r="X28" s="74" t="n">
        <f aca="false">ROUND(X26-X27,0)</f>
        <v>0</v>
      </c>
      <c r="Y28" s="74" t="n">
        <f aca="false">ROUND(Y26-Y27,0)</f>
        <v>0</v>
      </c>
      <c r="Z28" s="74" t="n">
        <f aca="false">ROUND(Z26-Z27,0)</f>
        <v>0</v>
      </c>
      <c r="AA28" s="74" t="n">
        <f aca="false">ROUND(AA26-AA27,0)</f>
        <v>0</v>
      </c>
      <c r="AB28" s="74" t="n">
        <f aca="false">ROUND(AB26-AB27,0)</f>
        <v>0</v>
      </c>
    </row>
    <row r="29" customFormat="false" ht="15" hidden="false" customHeight="false" outlineLevel="0" collapsed="false">
      <c r="A29" s="22" t="s">
        <v>852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59" t="s">
        <v>853</v>
      </c>
      <c r="B30" s="60" t="s">
        <v>854</v>
      </c>
      <c r="C30" s="61" t="n">
        <f aca="false">P30</f>
        <v>91880.23625</v>
      </c>
      <c r="D30" s="61" t="n">
        <f aca="false">AB30</f>
        <v>98073.4961458333</v>
      </c>
      <c r="E30" s="62" t="n">
        <f aca="false">Inputs_Actuals!$C$332+E12+E13-E20</f>
        <v>75974.9966666667</v>
      </c>
      <c r="F30" s="61" t="n">
        <f aca="false">E30+F12+F13-F20</f>
        <v>72383.33</v>
      </c>
      <c r="G30" s="61" t="n">
        <f aca="false">F30+G12+G13-G20</f>
        <v>76833.33</v>
      </c>
      <c r="H30" s="61" t="n">
        <f aca="false">G30+H12+H13-H20</f>
        <v>101308.33</v>
      </c>
      <c r="I30" s="61" t="n">
        <f aca="false">H30+I12+I13-I20</f>
        <v>94074.9966666667</v>
      </c>
      <c r="J30" s="61" t="n">
        <f aca="false">I30+J12+J13-J20</f>
        <v>88508.33</v>
      </c>
      <c r="K30" s="61" t="n">
        <f aca="false">J30+K12+K13-K20</f>
        <v>96941.6633333333</v>
      </c>
      <c r="L30" s="61" t="n">
        <f aca="false">K30+L12+L13-L20</f>
        <v>93633.33</v>
      </c>
      <c r="M30" s="61" t="n">
        <f aca="false">L30+M12+M13-M20</f>
        <v>89307.99875</v>
      </c>
      <c r="N30" s="61" t="n">
        <f aca="false">M30+N12+N13-N20</f>
        <v>84431.0466666667</v>
      </c>
      <c r="O30" s="61" t="n">
        <f aca="false">N30+O12+O13-O20</f>
        <v>89458.9654166667</v>
      </c>
      <c r="P30" s="61" t="n">
        <f aca="false">O30+P12+P13-P20</f>
        <v>91880.23625</v>
      </c>
      <c r="Q30" s="61" t="n">
        <f aca="false">P30+Q12+Q13-Q20</f>
        <v>95128.9105208333</v>
      </c>
      <c r="R30" s="61" t="n">
        <f aca="false">Q30+R12+R13-R20</f>
        <v>95014.4665625</v>
      </c>
      <c r="S30" s="61" t="n">
        <f aca="false">R30+S12+S13-S20</f>
        <v>96415.9742708333</v>
      </c>
      <c r="T30" s="61" t="n">
        <f aca="false">S30+T12+T13-T20</f>
        <v>98620.6432291667</v>
      </c>
      <c r="U30" s="61" t="n">
        <f aca="false">T30+U12+U13-U20</f>
        <v>93045.9034375</v>
      </c>
      <c r="V30" s="61" t="n">
        <f aca="false">U30+V12+V13-V20</f>
        <v>94236.1940625</v>
      </c>
      <c r="W30" s="61" t="n">
        <f aca="false">V30+W12+W13-W20</f>
        <v>94905.1702083333</v>
      </c>
      <c r="X30" s="61" t="n">
        <f aca="false">W30+X12+X13-X20</f>
        <v>93489.4666666667</v>
      </c>
      <c r="Y30" s="61" t="n">
        <f aca="false">X30+Y12+Y13-Y20</f>
        <v>95702.1753125</v>
      </c>
      <c r="Z30" s="61" t="n">
        <f aca="false">Y30+Z12+Z13-Z20</f>
        <v>97633.71125</v>
      </c>
      <c r="AA30" s="61" t="n">
        <f aca="false">Z30+AA12+AA13-AA20</f>
        <v>98669.7907291667</v>
      </c>
      <c r="AB30" s="61" t="n">
        <f aca="false">AA30+AB12+AB13-AB20</f>
        <v>98073.4961458333</v>
      </c>
    </row>
    <row r="31" customFormat="false" ht="15" hidden="false" customHeight="false" outlineLevel="0" collapsed="false">
      <c r="A31" s="28" t="s">
        <v>855</v>
      </c>
      <c r="B31" s="63" t="s">
        <v>856</v>
      </c>
      <c r="C31" s="64" t="n">
        <f aca="false">P31</f>
        <v>91880.2395833333</v>
      </c>
      <c r="D31" s="64" t="n">
        <f aca="false">AB31</f>
        <v>98073.4994791667</v>
      </c>
      <c r="E31" s="65" t="n">
        <f aca="false">((E12+E13)*11+(History!$E$28+History!$E$40)*1+(History!$F$28+History!$F$40)*2+(History!$G$28+History!$G$40)*3+(History!$H$28+History!$H$40)*4+(History!$I$28+History!$I$40)*5+(History!$J$28+History!$J$40)*6+(History!$K$28+History!$K$40)*7+(History!$L$28+History!$L$40)*8+(History!$M$28+History!$M$40)*9+(History!$N$28+History!$N$40)*10)/12</f>
        <v>75975</v>
      </c>
      <c r="F31" s="65" t="n">
        <f aca="false">((E12+E13)*10+(F12+F13)*11+(History!$F$28+History!$F$40)*1+(History!$G$28+History!$G$40)*2+(History!$H$28+History!$H$40)*3+(History!$I$28+History!$I$40)*4+(History!$J$28+History!$J$40)*5+(History!$K$28+History!$K$40)*6+(History!$L$28+History!$L$40)*7+(History!$M$28+History!$M$40)*8+(History!$N$28+History!$N$40)*9)/12</f>
        <v>72383.3333333333</v>
      </c>
      <c r="G31" s="65" t="n">
        <f aca="false">((E12+E13)*9+(F12+F13)*10+(G12+G13)*11+(History!$G$28+History!$G$40)*1+(History!$H$28+History!$H$40)*2+(History!$I$28+History!$I$40)*3+(History!$J$28+History!$J$40)*4+(History!$K$28+History!$K$40)*5+(History!$L$28+History!$L$40)*6+(History!$M$28+History!$M$40)*7+(History!$N$28+History!$N$40)*8)/12</f>
        <v>76833.3333333333</v>
      </c>
      <c r="H31" s="65" t="n">
        <f aca="false">((E12+E13)*8+(F12+F13)*9+(G12+G13)*10+(H12+H13)*11+(History!$H$28+History!$H$40)*1+(History!$I$28+History!$I$40)*2+(History!$J$28+History!$J$40)*3+(History!$K$28+History!$K$40)*4+(History!$L$28+History!$L$40)*5+(History!$M$28+History!$M$40)*6+(History!$N$28+History!$N$40)*7)/12</f>
        <v>101308.333333333</v>
      </c>
      <c r="I31" s="65" t="n">
        <f aca="false">((E12+E13)*7+(F12+F13)*8+(G12+G13)*9+(H12+H13)*10+(I12+I13)*11+(History!$I$28+History!$I$40)*1+(History!$J$28+History!$J$40)*2+(History!$K$28+History!$K$40)*3+(History!$L$28+History!$L$40)*4+(History!$M$28+History!$M$40)*5+(History!$N$28+History!$N$40)*6)/12</f>
        <v>94075</v>
      </c>
      <c r="J31" s="65" t="n">
        <f aca="false">((E12+E13)*6+(F12+F13)*7+(G12+G13)*8+(H12+H13)*9+(I12+I13)*10+(J12+J13)*11+(History!$J$28+History!$J$40)*1+(History!$K$28+History!$K$40)*2+(History!$L$28+History!$L$40)*3+(History!$M$28+History!$M$40)*4+(History!$N$28+History!$N$40)*5)/12</f>
        <v>88508.3333333333</v>
      </c>
      <c r="K31" s="65" t="n">
        <f aca="false">((E12+E13)*5+(F12+F13)*6+(G12+G13)*7+(H12+H13)*8+(I12+I13)*9+(J12+J13)*10+(K12+K13)*11+(History!$K$28+History!$K$40)*1+(History!$L$28+History!$L$40)*2+(History!$M$28+History!$M$40)*3+(History!$N$28+History!$N$40)*4)/12</f>
        <v>96941.6666666667</v>
      </c>
      <c r="L31" s="65" t="n">
        <f aca="false">((E12+E13)*4+(F12+F13)*5+(G12+G13)*6+(H12+H13)*7+(I12+I13)*8+(J12+J13)*9+(K12+K13)*10+(L12+L13)*11+(History!$L$28+History!$L$40)*1+(History!$M$28+History!$M$40)*2+(History!$N$28+History!$N$40)*3)/12</f>
        <v>93633.3333333333</v>
      </c>
      <c r="M31" s="65" t="n">
        <f aca="false">((E12+E13)*3+(F12+F13)*4+(G12+G13)*5+(H12+H13)*6+(I12+I13)*7+(J12+J13)*8+(K12+K13)*9+(L12+L13)*10+(M12+M13)*11+(History!$M$28+History!$M$40)*1+(History!$N$28+History!$N$40)*2)/12</f>
        <v>89308.0020833333</v>
      </c>
      <c r="N31" s="65" t="n">
        <f aca="false">((E12+E13)*2+(F12+F13)*3+(G12+G13)*4+(H12+H13)*5+(I12+I13)*6+(J12+J13)*7+(K12+K13)*8+(L12+L13)*9+(M12+M13)*10+(N12+N13)*11+(History!$N$28+History!$N$40)*1)/12</f>
        <v>84431.05</v>
      </c>
      <c r="O31" s="74" t="n">
        <f aca="false">((E12+E13)*1+(F12+F13)*2+(G12+G13)*3+(H12+H13)*4+(I12+I13)*5+(J12+J13)*6+(K12+K13)*7+(L12+L13)*8+(M12+M13)*9+(N12+N13)*10+(O12+O13)*11)/12</f>
        <v>89458.96875</v>
      </c>
      <c r="P31" s="74" t="n">
        <f aca="false">((F12+F13)*1+(G12+G13)*2+(H12+H13)*3+(I12+I13)*4+(J12+J13)*5+(K12+K13)*6+(L12+L13)*7+(M12+M13)*8+(N12+N13)*9+(O12+O13)*10+(P12+P13)*11)/12</f>
        <v>91880.2395833333</v>
      </c>
      <c r="Q31" s="74" t="n">
        <f aca="false">((G12+G13)*1+(H12+H13)*2+(I12+I13)*3+(J12+J13)*4+(K12+K13)*5+(L12+L13)*6+(M12+M13)*7+(N12+N13)*8+(O12+O13)*9+(P12+P13)*10+(Q12+Q13)*11)/12</f>
        <v>95128.9138541667</v>
      </c>
      <c r="R31" s="74" t="n">
        <f aca="false">((H12+H13)*1+(I12+I13)*2+(J12+J13)*3+(K12+K13)*4+(L12+L13)*5+(M12+M13)*6+(N12+N13)*7+(O12+O13)*8+(P12+P13)*9+(Q12+Q13)*10+(R12+R13)*11)/12</f>
        <v>95014.4698958333</v>
      </c>
      <c r="S31" s="74" t="n">
        <f aca="false">((I12+I13)*1+(J12+J13)*2+(K12+K13)*3+(L12+L13)*4+(M12+M13)*5+(N12+N13)*6+(O12+O13)*7+(P12+P13)*8+(Q12+Q13)*9+(R12+R13)*10+(S12+S13)*11)/12</f>
        <v>96415.9776041667</v>
      </c>
      <c r="T31" s="74" t="n">
        <f aca="false">((J12+J13)*1+(K12+K13)*2+(L12+L13)*3+(M12+M13)*4+(N12+N13)*5+(O12+O13)*6+(P12+P13)*7+(Q12+Q13)*8+(R12+R13)*9+(S12+S13)*10+(T12+T13)*11)/12</f>
        <v>98620.6465625</v>
      </c>
      <c r="U31" s="74" t="n">
        <f aca="false">((K12+K13)*1+(L12+L13)*2+(M12+M13)*3+(N12+N13)*4+(O12+O13)*5+(P12+P13)*6+(Q12+Q13)*7+(R12+R13)*8+(S12+S13)*9+(T12+T13)*10+(U12+U13)*11)/12</f>
        <v>93045.9067708334</v>
      </c>
      <c r="V31" s="74" t="n">
        <f aca="false">((L12+L13)*1+(M12+M13)*2+(N12+N13)*3+(O12+O13)*4+(P12+P13)*5+(Q12+Q13)*6+(R12+R13)*7+(S12+S13)*8+(T12+T13)*9+(U12+U13)*10+(V12+V13)*11)/12</f>
        <v>94236.1973958333</v>
      </c>
      <c r="W31" s="74" t="n">
        <f aca="false">((M12+M13)*1+(N12+N13)*2+(O12+O13)*3+(P12+P13)*4+(Q12+Q13)*5+(R12+R13)*6+(S12+S13)*7+(T12+T13)*8+(U12+U13)*9+(V12+V13)*10+(W12+W13)*11)/12</f>
        <v>94905.1735416667</v>
      </c>
      <c r="X31" s="74" t="n">
        <f aca="false">((N12+N13)*1+(O12+O13)*2+(P12+P13)*3+(Q12+Q13)*4+(R12+R13)*5+(S12+S13)*6+(T12+T13)*7+(U12+U13)*8+(V12+V13)*9+(W12+W13)*10+(X12+X13)*11)/12</f>
        <v>93489.47</v>
      </c>
      <c r="Y31" s="74" t="n">
        <f aca="false">((O12+O13)*1+(P12+P13)*2+(Q12+Q13)*3+(R12+R13)*4+(S12+S13)*5+(T12+T13)*6+(U12+U13)*7+(V12+V13)*8+(W12+W13)*9+(X12+X13)*10+(Y12+Y13)*11)/12</f>
        <v>95702.1786458333</v>
      </c>
      <c r="Z31" s="74" t="n">
        <f aca="false">((P12+P13)*1+(Q12+Q13)*2+(R12+R13)*3+(S12+S13)*4+(T12+T13)*5+(U12+U13)*6+(V12+V13)*7+(W12+W13)*8+(X12+X13)*9+(Y12+Y13)*10+(Z12+Z13)*11)/12</f>
        <v>97633.7145833333</v>
      </c>
      <c r="AA31" s="74" t="n">
        <f aca="false">((Q12+Q13)*1+(R12+R13)*2+(S12+S13)*3+(T12+T13)*4+(U12+U13)*5+(V12+V13)*6+(W12+W13)*7+(X12+X13)*8+(Y12+Y13)*9+(Z12+Z13)*10+(AA12+AA13)*11)/12</f>
        <v>98669.7940625</v>
      </c>
      <c r="AB31" s="74" t="n">
        <f aca="false">((R12+R13)*1+(S12+S13)*2+(T12+T13)*3+(U12+U13)*4+(V12+V13)*5+(W12+W13)*6+(X12+X13)*7+(Y12+Y13)*8+(Z12+Z13)*9+(AA12+AA13)*10+(AB12+AB13)*11)/12</f>
        <v>98073.4994791667</v>
      </c>
    </row>
    <row r="32" customFormat="false" ht="15" hidden="false" customHeight="false" outlineLevel="0" collapsed="false">
      <c r="A32" s="28" t="s">
        <v>851</v>
      </c>
      <c r="B32" s="63"/>
      <c r="C32" s="64" t="n">
        <f aca="false">SUM(E32:P32)</f>
        <v>0</v>
      </c>
      <c r="D32" s="64" t="n">
        <f aca="false">SUM(Q32:AB32)</f>
        <v>0</v>
      </c>
      <c r="E32" s="74" t="n">
        <f aca="false">ROUND(E30-E31,0)</f>
        <v>-0</v>
      </c>
      <c r="F32" s="74" t="n">
        <f aca="false">ROUND(F30-F31,0)</f>
        <v>-0</v>
      </c>
      <c r="G32" s="74" t="n">
        <f aca="false">ROUND(G30-G31,0)</f>
        <v>-0</v>
      </c>
      <c r="H32" s="74" t="n">
        <f aca="false">ROUND(H30-H31,0)</f>
        <v>-0</v>
      </c>
      <c r="I32" s="74" t="n">
        <f aca="false">ROUND(I30-I31,0)</f>
        <v>-0</v>
      </c>
      <c r="J32" s="74" t="n">
        <f aca="false">ROUND(J30-J31,0)</f>
        <v>-0</v>
      </c>
      <c r="K32" s="74" t="n">
        <f aca="false">ROUND(K30-K31,0)</f>
        <v>-0</v>
      </c>
      <c r="L32" s="74" t="n">
        <f aca="false">ROUND(L30-L31,0)</f>
        <v>-0</v>
      </c>
      <c r="M32" s="74" t="n">
        <f aca="false">ROUND(M30-M31,0)</f>
        <v>-0</v>
      </c>
      <c r="N32" s="74" t="n">
        <f aca="false">ROUND(N30-N31,0)</f>
        <v>-0</v>
      </c>
      <c r="O32" s="74" t="n">
        <f aca="false">ROUND(O30-O31,0)</f>
        <v>-0</v>
      </c>
      <c r="P32" s="74" t="n">
        <f aca="false">ROUND(P30-P31,0)</f>
        <v>-0</v>
      </c>
      <c r="Q32" s="74" t="n">
        <f aca="false">ROUND(Q30-Q31,0)</f>
        <v>-0</v>
      </c>
      <c r="R32" s="74" t="n">
        <f aca="false">ROUND(R30-R31,0)</f>
        <v>-0</v>
      </c>
      <c r="S32" s="74" t="n">
        <f aca="false">ROUND(S30-S31,0)</f>
        <v>-0</v>
      </c>
      <c r="T32" s="74" t="n">
        <f aca="false">ROUND(T30-T31,0)</f>
        <v>-0</v>
      </c>
      <c r="U32" s="74" t="n">
        <f aca="false">ROUND(U30-U31,0)</f>
        <v>-0</v>
      </c>
      <c r="V32" s="74" t="n">
        <f aca="false">ROUND(V30-V31,0)</f>
        <v>-0</v>
      </c>
      <c r="W32" s="74" t="n">
        <f aca="false">ROUND(W30-W31,0)</f>
        <v>-0</v>
      </c>
      <c r="X32" s="74" t="n">
        <f aca="false">ROUND(X30-X31,0)</f>
        <v>-0</v>
      </c>
      <c r="Y32" s="74" t="n">
        <f aca="false">ROUND(Y30-Y31,0)</f>
        <v>-0</v>
      </c>
      <c r="Z32" s="74" t="n">
        <f aca="false">ROUND(Z30-Z31,0)</f>
        <v>-0</v>
      </c>
      <c r="AA32" s="74" t="n">
        <f aca="false">ROUND(AA30-AA31,0)</f>
        <v>-0</v>
      </c>
      <c r="AB32" s="74" t="n">
        <f aca="false">ROUND(AB30-AB31,0)</f>
        <v>-0</v>
      </c>
    </row>
    <row r="33" customFormat="false" ht="15" hidden="false" customHeight="false" outlineLevel="0" collapsed="false">
      <c r="A33" s="22" t="s">
        <v>857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row>
    <row r="34" customFormat="false" ht="15" hidden="false" customHeight="false" outlineLevel="0" collapsed="false">
      <c r="A34" s="28" t="s">
        <v>858</v>
      </c>
      <c r="B34" s="63" t="s">
        <v>859</v>
      </c>
      <c r="C34" s="64" t="n">
        <f aca="false">SUM(E34:P34)</f>
        <v>308064.426883169</v>
      </c>
      <c r="D34" s="64" t="n">
        <f aca="false">SUM(Q34:AB34)</f>
        <v>382468.550431266</v>
      </c>
      <c r="E34" s="65" t="n">
        <f aca="false">E9*Assumptions!$C$20*Assumptions!$C$18</f>
        <v>23517.075456</v>
      </c>
      <c r="F34" s="65" t="n">
        <f aca="false">F9*Assumptions!$C$20*Assumptions!$C$18</f>
        <v>23895.673536</v>
      </c>
      <c r="G34" s="65" t="n">
        <f aca="false">G9*Assumptions!$C$20*Assumptions!$C$18</f>
        <v>24520.17792</v>
      </c>
      <c r="H34" s="65" t="n">
        <f aca="false">H9*Assumptions!$C$20*Assumptions!$C$18</f>
        <v>24899.798784</v>
      </c>
      <c r="I34" s="65" t="n">
        <f aca="false">I9*Assumptions!$C$20*Assumptions!$C$18</f>
        <v>25088.457408</v>
      </c>
      <c r="J34" s="65" t="n">
        <f aca="false">J9*Assumptions!$C$20*Assumptions!$C$18</f>
        <v>25268.634048</v>
      </c>
      <c r="K34" s="65" t="n">
        <f aca="false">K9*Assumptions!$C$20*Assumptions!$C$18</f>
        <v>25951.575552</v>
      </c>
      <c r="L34" s="65" t="n">
        <f aca="false">L9*Assumptions!$C$20*Assumptions!$C$18</f>
        <v>26045.80608</v>
      </c>
      <c r="M34" s="65" t="n">
        <f aca="false">M9*Assumptions!$C$20*Assumptions!$C$18</f>
        <v>26545.416843456</v>
      </c>
      <c r="N34" s="65" t="n">
        <f aca="false">N9*Assumptions!$C$20*Assumptions!$C$18</f>
        <v>27066.8135350103</v>
      </c>
      <c r="O34" s="65" t="n">
        <f aca="false">O9*Assumptions!$C$20*Assumptions!$C$18</f>
        <v>27495.166326598</v>
      </c>
      <c r="P34" s="65" t="n">
        <f aca="false">P9*Assumptions!$C$20*Assumptions!$C$18</f>
        <v>27769.8313941049</v>
      </c>
      <c r="Q34" s="65" t="n">
        <f aca="false">Q9*Assumptions!$C$20*Assumptions!$C$18</f>
        <v>29773.5198325877</v>
      </c>
      <c r="R34" s="65" t="n">
        <f aca="false">R9*Assumptions!$C$20*Assumptions!$C$18</f>
        <v>30254.3943747517</v>
      </c>
      <c r="S34" s="65" t="n">
        <f aca="false">S9*Assumptions!$C$20*Assumptions!$C$18</f>
        <v>30701.7780517122</v>
      </c>
      <c r="T34" s="65" t="n">
        <f aca="false">T9*Assumptions!$C$20*Assumptions!$C$18</f>
        <v>31097.317259302</v>
      </c>
      <c r="U34" s="65" t="n">
        <f aca="false">U9*Assumptions!$C$20*Assumptions!$C$18</f>
        <v>31489.7511648345</v>
      </c>
      <c r="V34" s="65" t="n">
        <f aca="false">V9*Assumptions!$C$20*Assumptions!$C$18</f>
        <v>31832.6236438533</v>
      </c>
      <c r="W34" s="65" t="n">
        <f aca="false">W9*Assumptions!$C$20*Assumptions!$C$18</f>
        <v>32084.8179430301</v>
      </c>
      <c r="X34" s="65" t="n">
        <f aca="false">X9*Assumptions!$C$20*Assumptions!$C$18</f>
        <v>32186.6566626037</v>
      </c>
      <c r="Y34" s="65" t="n">
        <f aca="false">Y9*Assumptions!$C$20*Assumptions!$C$18</f>
        <v>32645.2898238845</v>
      </c>
      <c r="Z34" s="65" t="n">
        <f aca="false">Z9*Assumptions!$C$20*Assumptions!$C$18</f>
        <v>33131.7293539758</v>
      </c>
      <c r="AA34" s="65" t="n">
        <f aca="false">AA9*Assumptions!$C$20*Assumptions!$C$18</f>
        <v>33520.412489278</v>
      </c>
      <c r="AB34" s="65" t="n">
        <f aca="false">AB9*Assumptions!$C$20*Assumptions!$C$18</f>
        <v>33750.2598314528</v>
      </c>
    </row>
    <row r="35" customFormat="false" ht="15" hidden="false" customHeight="false" outlineLevel="0" collapsed="false">
      <c r="A35" s="28" t="s">
        <v>860</v>
      </c>
      <c r="B35" s="63"/>
      <c r="C35" s="64" t="n">
        <f aca="false">SUM(E35:P35)</f>
        <v>333631.857072671</v>
      </c>
      <c r="D35" s="64" t="n">
        <f aca="false">SUM(Q35:AB35)</f>
        <v>416211.187092777</v>
      </c>
      <c r="E35" s="65" t="n">
        <f aca="false">(E10+E12)*Assumptions!$C$23*Assumptions!$C$18</f>
        <v>46740.791097</v>
      </c>
      <c r="F35" s="65" t="n">
        <f aca="false">(F10+F12)*Assumptions!$C$23*Assumptions!$C$18</f>
        <v>20986.232295</v>
      </c>
      <c r="G35" s="65" t="n">
        <f aca="false">(G10+G12)*Assumptions!$C$23*Assumptions!$C$18</f>
        <v>30772.778946</v>
      </c>
      <c r="H35" s="65" t="n">
        <f aca="false">(H10+H12)*Assumptions!$C$23*Assumptions!$C$18</f>
        <v>30357.743913</v>
      </c>
      <c r="I35" s="65" t="n">
        <f aca="false">(I10+I12)*Assumptions!$C$23*Assumptions!$C$18</f>
        <v>26437.053825</v>
      </c>
      <c r="J35" s="65" t="n">
        <f aca="false">(J10+J12)*Assumptions!$C$23*Assumptions!$C$18</f>
        <v>23471.018739</v>
      </c>
      <c r="K35" s="65" t="n">
        <f aca="false">(K10+K12)*Assumptions!$C$23*Assumptions!$C$18</f>
        <v>32363.522184</v>
      </c>
      <c r="L35" s="65" t="n">
        <f aca="false">(L10+L12)*Assumptions!$C$23*Assumptions!$C$18</f>
        <v>21563.833914</v>
      </c>
      <c r="M35" s="65" t="n">
        <f aca="false">(M10+M12)*Assumptions!$C$23*Assumptions!$C$18</f>
        <v>27238.3705310996</v>
      </c>
      <c r="N35" s="65" t="n">
        <f aca="false">(N10+N12)*Assumptions!$C$23*Assumptions!$C$18</f>
        <v>24731.255024444</v>
      </c>
      <c r="O35" s="65" t="n">
        <f aca="false">(O10+O12)*Assumptions!$C$23*Assumptions!$C$18</f>
        <v>26358.0012713376</v>
      </c>
      <c r="P35" s="65" t="n">
        <f aca="false">(P10+P12)*Assumptions!$C$23*Assumptions!$C$18</f>
        <v>22611.2553327896</v>
      </c>
      <c r="Q35" s="65" t="n">
        <f aca="false">(Q10+Q12)*Assumptions!$C$23*Assumptions!$C$18</f>
        <v>54401.2538892144</v>
      </c>
      <c r="R35" s="65" t="n">
        <f aca="false">(R10+R12)*Assumptions!$C$23*Assumptions!$C$18</f>
        <v>28812.501685752</v>
      </c>
      <c r="S35" s="65" t="n">
        <f aca="false">(S10+S12)*Assumptions!$C$23*Assumptions!$C$18</f>
        <v>37106.4337395406</v>
      </c>
      <c r="T35" s="65" t="n">
        <f aca="false">(T10+T12)*Assumptions!$C$23*Assumptions!$C$18</f>
        <v>37406.8577983946</v>
      </c>
      <c r="U35" s="65" t="n">
        <f aca="false">(U10+U12)*Assumptions!$C$23*Assumptions!$C$18</f>
        <v>34051.0053504763</v>
      </c>
      <c r="V35" s="65" t="n">
        <f aca="false">(V10+V12)*Assumptions!$C$23*Assumptions!$C$18</f>
        <v>30157.8864507201</v>
      </c>
      <c r="W35" s="65" t="n">
        <f aca="false">(W10+W12)*Assumptions!$C$23*Assumptions!$C$18</f>
        <v>38634.137880176</v>
      </c>
      <c r="X35" s="65" t="n">
        <f aca="false">(X10+X12)*Assumptions!$C$23*Assumptions!$C$18</f>
        <v>25717.7785243045</v>
      </c>
      <c r="Y35" s="65" t="n">
        <f aca="false">(Y10+Y12)*Assumptions!$C$23*Assumptions!$C$18</f>
        <v>34933.9271420918</v>
      </c>
      <c r="Z35" s="65" t="n">
        <f aca="false">(Z10+Z12)*Assumptions!$C$23*Assumptions!$C$18</f>
        <v>32553.0365075062</v>
      </c>
      <c r="AA35" s="65" t="n">
        <f aca="false">(AA10+AA12)*Assumptions!$C$23*Assumptions!$C$18</f>
        <v>33671.6876768355</v>
      </c>
      <c r="AB35" s="65" t="n">
        <f aca="false">(AB10+AB12)*Assumptions!$C$23*Assumptions!$C$18</f>
        <v>28764.6804477653</v>
      </c>
    </row>
    <row r="36" customFormat="false" ht="15" hidden="false" customHeight="false" outlineLevel="0" collapsed="false">
      <c r="A36" s="28" t="s">
        <v>861</v>
      </c>
      <c r="B36" s="63" t="s">
        <v>862</v>
      </c>
      <c r="C36" s="64" t="n">
        <f aca="false">SUM(E36:P36)</f>
        <v>245658.756263088</v>
      </c>
      <c r="D36" s="64" t="n">
        <f aca="false">SUM(Q36:AB36)</f>
        <v>285823.761541483</v>
      </c>
      <c r="E36" s="65" t="n">
        <f aca="false">Enterprise!E103</f>
        <v>54500.7204</v>
      </c>
      <c r="F36" s="65" t="n">
        <f aca="false">Enterprise!F103</f>
        <v>0</v>
      </c>
      <c r="G36" s="65" t="n">
        <f aca="false">Enterprise!G103</f>
        <v>42473.214</v>
      </c>
      <c r="H36" s="65" t="n">
        <f aca="false">Enterprise!H103</f>
        <v>34860</v>
      </c>
      <c r="I36" s="65" t="n">
        <f aca="false">Enterprise!I103</f>
        <v>13033.1124</v>
      </c>
      <c r="J36" s="65" t="n">
        <f aca="false">Enterprise!J103</f>
        <v>35263.0656</v>
      </c>
      <c r="K36" s="65" t="n">
        <f aca="false">Enterprise!K103</f>
        <v>0</v>
      </c>
      <c r="L36" s="65" t="n">
        <f aca="false">Enterprise!L103</f>
        <v>0</v>
      </c>
      <c r="M36" s="65" t="n">
        <f aca="false">Enterprise!M103</f>
        <v>15534.666</v>
      </c>
      <c r="N36" s="65" t="n">
        <f aca="false">Enterprise!N103</f>
        <v>20667.523037616</v>
      </c>
      <c r="O36" s="65" t="n">
        <f aca="false">Enterprise!O103</f>
        <v>29326.454825472</v>
      </c>
      <c r="P36" s="65" t="n">
        <f aca="false">Enterprise!P103</f>
        <v>0</v>
      </c>
      <c r="Q36" s="65" t="n">
        <f aca="false">Enterprise!Q103</f>
        <v>49160.70014373</v>
      </c>
      <c r="R36" s="65" t="n">
        <f aca="false">Enterprise!R103</f>
        <v>0</v>
      </c>
      <c r="S36" s="65" t="n">
        <f aca="false">Enterprise!S103</f>
        <v>44809.6175181396</v>
      </c>
      <c r="T36" s="65" t="n">
        <f aca="false">Enterprise!T103</f>
        <v>38909.7765</v>
      </c>
      <c r="U36" s="65" t="n">
        <f aca="false">Enterprise!U103</f>
        <v>11854.6765227072</v>
      </c>
      <c r="V36" s="65" t="n">
        <f aca="false">Enterprise!V103</f>
        <v>40791.3801188208</v>
      </c>
      <c r="W36" s="65" t="n">
        <f aca="false">Enterprise!W103</f>
        <v>6017.55</v>
      </c>
      <c r="X36" s="65" t="n">
        <f aca="false">Enterprise!X103</f>
        <v>6017.55</v>
      </c>
      <c r="Y36" s="65" t="n">
        <f aca="false">Enterprise!Y103</f>
        <v>21978.25421505</v>
      </c>
      <c r="Z36" s="65" t="n">
        <f aca="false">Enterprise!Z103</f>
        <v>26606.8671304417</v>
      </c>
      <c r="AA36" s="65" t="n">
        <f aca="false">Enterprise!AA103</f>
        <v>33659.8393925933</v>
      </c>
      <c r="AB36" s="65" t="n">
        <f aca="false">Enterprise!AB103</f>
        <v>6017.55</v>
      </c>
    </row>
    <row r="37" customFormat="false" ht="15" hidden="false" customHeight="false" outlineLevel="0" collapsed="false">
      <c r="A37" s="59" t="s">
        <v>863</v>
      </c>
      <c r="B37" s="60"/>
      <c r="C37" s="61" t="n">
        <f aca="false">SUM(E37:P37)</f>
        <v>887355.040218928</v>
      </c>
      <c r="D37" s="61" t="n">
        <f aca="false">SUM(Q37:AB37)</f>
        <v>1084503.49906553</v>
      </c>
      <c r="E37" s="61" t="n">
        <f aca="false">E34+E35+E36</f>
        <v>124758.586953</v>
      </c>
      <c r="F37" s="61" t="n">
        <f aca="false">F34+F35+F36</f>
        <v>44881.905831</v>
      </c>
      <c r="G37" s="61" t="n">
        <f aca="false">G34+G35+G36</f>
        <v>97766.170866</v>
      </c>
      <c r="H37" s="61" t="n">
        <f aca="false">H34+H35+H36</f>
        <v>90117.542697</v>
      </c>
      <c r="I37" s="61" t="n">
        <f aca="false">I34+I35+I36</f>
        <v>64558.623633</v>
      </c>
      <c r="J37" s="61" t="n">
        <f aca="false">J34+J35+J36</f>
        <v>84002.718387</v>
      </c>
      <c r="K37" s="61" t="n">
        <f aca="false">K34+K35+K36</f>
        <v>58315.097736</v>
      </c>
      <c r="L37" s="61" t="n">
        <f aca="false">L34+L35+L36</f>
        <v>47609.639994</v>
      </c>
      <c r="M37" s="61" t="n">
        <f aca="false">M34+M35+M36</f>
        <v>69318.4533745556</v>
      </c>
      <c r="N37" s="61" t="n">
        <f aca="false">N34+N35+N36</f>
        <v>72465.5915970703</v>
      </c>
      <c r="O37" s="61" t="n">
        <f aca="false">O34+O35+O36</f>
        <v>83179.6224234076</v>
      </c>
      <c r="P37" s="61" t="n">
        <f aca="false">P34+P35+P36</f>
        <v>50381.0867268945</v>
      </c>
      <c r="Q37" s="61" t="n">
        <f aca="false">Q34+Q35+Q36</f>
        <v>133335.473865532</v>
      </c>
      <c r="R37" s="61" t="n">
        <f aca="false">R34+R35+R36</f>
        <v>59066.8960605038</v>
      </c>
      <c r="S37" s="61" t="n">
        <f aca="false">S34+S35+S36</f>
        <v>112617.829309392</v>
      </c>
      <c r="T37" s="61" t="n">
        <f aca="false">T34+T35+T36</f>
        <v>107413.951557697</v>
      </c>
      <c r="U37" s="61" t="n">
        <f aca="false">U34+U35+U36</f>
        <v>77395.433038018</v>
      </c>
      <c r="V37" s="61" t="n">
        <f aca="false">V34+V35+V36</f>
        <v>102781.890213394</v>
      </c>
      <c r="W37" s="61" t="n">
        <f aca="false">W34+W35+W36</f>
        <v>76736.505823206</v>
      </c>
      <c r="X37" s="61" t="n">
        <f aca="false">X34+X35+X36</f>
        <v>63921.9851869082</v>
      </c>
      <c r="Y37" s="61" t="n">
        <f aca="false">Y34+Y35+Y36</f>
        <v>89557.4711810263</v>
      </c>
      <c r="Z37" s="61" t="n">
        <f aca="false">Z34+Z35+Z36</f>
        <v>92291.6329919237</v>
      </c>
      <c r="AA37" s="61" t="n">
        <f aca="false">AA34+AA35+AA36</f>
        <v>100851.939558707</v>
      </c>
      <c r="AB37" s="61" t="n">
        <f aca="false">AB34+AB35+AB36</f>
        <v>68532.4902792182</v>
      </c>
    </row>
    <row r="38" customFormat="false" ht="15" hidden="false" customHeight="false" outlineLevel="0" collapsed="false">
      <c r="A38" s="28" t="s">
        <v>864</v>
      </c>
      <c r="B38" s="63"/>
      <c r="C38" s="64" t="n">
        <f aca="false">SUM(E38:P38)</f>
        <v>2600210.46024008</v>
      </c>
      <c r="D38" s="64" t="n">
        <f aca="false">SUM(Q38:AB38)</f>
        <v>3228216.69352105</v>
      </c>
      <c r="E38" s="74" t="n">
        <f aca="false">E9+E34</f>
        <v>198495.315456</v>
      </c>
      <c r="F38" s="74" t="n">
        <f aca="false">F9+F34</f>
        <v>201690.863536</v>
      </c>
      <c r="G38" s="74" t="n">
        <f aca="false">G9+G34</f>
        <v>206961.97792</v>
      </c>
      <c r="H38" s="74" t="n">
        <f aca="false">H9+H34</f>
        <v>210166.158784</v>
      </c>
      <c r="I38" s="74" t="n">
        <f aca="false">I9+I34</f>
        <v>211758.527408</v>
      </c>
      <c r="J38" s="74" t="n">
        <f aca="false">J9+J34</f>
        <v>213279.304048</v>
      </c>
      <c r="K38" s="74" t="n">
        <f aca="false">K9+K34</f>
        <v>219043.655552</v>
      </c>
      <c r="L38" s="74" t="n">
        <f aca="false">L9+L34</f>
        <v>219839.00608</v>
      </c>
      <c r="M38" s="74" t="n">
        <f aca="false">M9+M34</f>
        <v>224055.958833456</v>
      </c>
      <c r="N38" s="74" t="n">
        <f aca="false">N9+N34</f>
        <v>228456.795194313</v>
      </c>
      <c r="O38" s="74" t="n">
        <f aca="false">O9+O34</f>
        <v>232072.296732833</v>
      </c>
      <c r="P38" s="74" t="n">
        <f aca="false">P9+P34</f>
        <v>234390.600695481</v>
      </c>
      <c r="Q38" s="74" t="n">
        <f aca="false">Q9+Q34</f>
        <v>251302.685253627</v>
      </c>
      <c r="R38" s="74" t="n">
        <f aca="false">R9+R34</f>
        <v>255361.495377369</v>
      </c>
      <c r="S38" s="74" t="n">
        <f aca="false">S9+S34</f>
        <v>259137.626650762</v>
      </c>
      <c r="T38" s="74" t="n">
        <f aca="false">T9+T34</f>
        <v>262476.165914823</v>
      </c>
      <c r="U38" s="74" t="n">
        <f aca="false">U9+U34</f>
        <v>265788.494950806</v>
      </c>
      <c r="V38" s="74" t="n">
        <f aca="false">V9+V34</f>
        <v>268682.501946333</v>
      </c>
      <c r="W38" s="74" t="n">
        <f aca="false">W9+W34</f>
        <v>270811.141923909</v>
      </c>
      <c r="X38" s="74" t="n">
        <f aca="false">X9+X34</f>
        <v>271670.709211738</v>
      </c>
      <c r="Y38" s="74" t="n">
        <f aca="false">Y9+Y34</f>
        <v>275541.791489692</v>
      </c>
      <c r="Z38" s="74" t="n">
        <f aca="false">Z9+Z34</f>
        <v>279647.572761534</v>
      </c>
      <c r="AA38" s="74" t="n">
        <f aca="false">AA9+AA34</f>
        <v>282928.243510691</v>
      </c>
      <c r="AB38" s="74" t="n">
        <f aca="false">AB9+AB34</f>
        <v>284868.264529763</v>
      </c>
    </row>
    <row r="39" customFormat="false" ht="15" hidden="false" customHeight="false" outlineLevel="0" collapsed="false">
      <c r="A39" s="28" t="s">
        <v>865</v>
      </c>
      <c r="B39" s="63"/>
      <c r="C39" s="64" t="n">
        <f aca="false">SUM(E39:P39)</f>
        <v>2938096.00283903</v>
      </c>
      <c r="D39" s="64" t="n">
        <f aca="false">SUM(Q39:AB39)</f>
        <v>3665322.71787168</v>
      </c>
      <c r="E39" s="74" t="n">
        <f aca="false">E10+E12+E35</f>
        <v>411618.161097</v>
      </c>
      <c r="F39" s="74" t="n">
        <f aca="false">F10+F12+F35</f>
        <v>184813.182295</v>
      </c>
      <c r="G39" s="74" t="n">
        <f aca="false">G10+G12+G35</f>
        <v>270997.438946</v>
      </c>
      <c r="H39" s="74" t="n">
        <f aca="false">H10+H12+H35</f>
        <v>267342.473913</v>
      </c>
      <c r="I39" s="74" t="n">
        <f aca="false">I10+I12+I35</f>
        <v>232815.303825</v>
      </c>
      <c r="J39" s="74" t="n">
        <f aca="false">J10+J12+J35</f>
        <v>206695.208739</v>
      </c>
      <c r="K39" s="74" t="n">
        <f aca="false">K10+K12+K35</f>
        <v>285006.162184</v>
      </c>
      <c r="L39" s="74" t="n">
        <f aca="false">L10+L12+L35</f>
        <v>189899.773914</v>
      </c>
      <c r="M39" s="74" t="n">
        <f aca="false">M10+M12+M35</f>
        <v>239872.02026646</v>
      </c>
      <c r="N39" s="74" t="n">
        <f aca="false">N10+N12+N35</f>
        <v>217793.3551372</v>
      </c>
      <c r="O39" s="74" t="n">
        <f aca="false">O10+O12+O35</f>
        <v>232119.135317689</v>
      </c>
      <c r="P39" s="74" t="n">
        <f aca="false">P10+P12+P35</f>
        <v>199123.787204683</v>
      </c>
      <c r="Q39" s="74" t="n">
        <f aca="false">Q10+Q12+Q35</f>
        <v>479079.27019846</v>
      </c>
      <c r="R39" s="74" t="n">
        <f aca="false">R10+R12+R35</f>
        <v>253734.450832919</v>
      </c>
      <c r="S39" s="74" t="n">
        <f aca="false">S10+S12+S35</f>
        <v>326774.144430724</v>
      </c>
      <c r="T39" s="74" t="n">
        <f aca="false">T10+T12+T35</f>
        <v>329419.799237853</v>
      </c>
      <c r="U39" s="74" t="n">
        <f aca="false">U10+U12+U35</f>
        <v>299866.816048964</v>
      </c>
      <c r="V39" s="74" t="n">
        <f aca="false">V10+V12+V35</f>
        <v>265582.448907551</v>
      </c>
      <c r="W39" s="74" t="n">
        <f aca="false">W10+W12+W35</f>
        <v>340227.720082955</v>
      </c>
      <c r="X39" s="74" t="n">
        <f aca="false">X10+X12+X35</f>
        <v>226481.076918563</v>
      </c>
      <c r="Y39" s="74" t="n">
        <f aca="false">Y10+Y12+Y35</f>
        <v>307642.179617438</v>
      </c>
      <c r="Z39" s="74" t="n">
        <f aca="false">Z10+Z12+Z35</f>
        <v>286675.101359233</v>
      </c>
      <c r="AA39" s="74" t="n">
        <f aca="false">AA10+AA12+AA35</f>
        <v>296526.392414037</v>
      </c>
      <c r="AB39" s="74" t="n">
        <f aca="false">AB10+AB12+AB35</f>
        <v>253313.317822983</v>
      </c>
    </row>
    <row r="40" customFormat="false" ht="15" hidden="false" customHeight="false" outlineLevel="0" collapsed="false">
      <c r="A40" s="28" t="s">
        <v>866</v>
      </c>
      <c r="B40" s="63"/>
      <c r="C40" s="64" t="n">
        <f aca="false">SUM(E40:P40)</f>
        <v>2239882.93990757</v>
      </c>
      <c r="D40" s="64" t="n">
        <f aca="false">SUM(Q40:AB40)</f>
        <v>2744395.15524455</v>
      </c>
      <c r="E40" s="74" t="n">
        <f aca="false">E11+E13+E36</f>
        <v>408549.9204</v>
      </c>
      <c r="F40" s="74" t="n">
        <f aca="false">F11+F13+F36</f>
        <v>0</v>
      </c>
      <c r="G40" s="74" t="n">
        <f aca="false">G11+G13+G36</f>
        <v>316480.054</v>
      </c>
      <c r="H40" s="74" t="n">
        <f aca="false">H11+H13+H36</f>
        <v>265208.2</v>
      </c>
      <c r="I40" s="74" t="n">
        <f aca="false">I11+I13+I36</f>
        <v>160656.0324</v>
      </c>
      <c r="J40" s="74" t="n">
        <f aca="false">J11+J13+J36</f>
        <v>203182.4256</v>
      </c>
      <c r="K40" s="74" t="n">
        <f aca="false">K11+K13+K36</f>
        <v>146288.72</v>
      </c>
      <c r="L40" s="74" t="n">
        <f aca="false">L11+L13+L36</f>
        <v>0</v>
      </c>
      <c r="M40" s="74" t="n">
        <f aca="false">M11+M13+M36</f>
        <v>255321.55809168</v>
      </c>
      <c r="N40" s="74" t="n">
        <f aca="false">N11+N13+N36</f>
        <v>119084.299407216</v>
      </c>
      <c r="O40" s="74" t="n">
        <f aca="false">O11+O13+O36</f>
        <v>300111.730008672</v>
      </c>
      <c r="P40" s="74" t="n">
        <f aca="false">P11+P13+P36</f>
        <v>65000</v>
      </c>
      <c r="Q40" s="74" t="n">
        <f aca="false">Q11+Q13+Q36</f>
        <v>431303.86700973</v>
      </c>
      <c r="R40" s="74" t="n">
        <f aca="false">R11+R13+R36</f>
        <v>38400</v>
      </c>
      <c r="S40" s="74" t="n">
        <f aca="false">S11+S13+S36</f>
        <v>368137.16153994</v>
      </c>
      <c r="T40" s="74" t="n">
        <f aca="false">T11+T13+T36</f>
        <v>288988.4308296</v>
      </c>
      <c r="U40" s="74" t="n">
        <f aca="false">U11+U13+U36</f>
        <v>155287.156679827</v>
      </c>
      <c r="V40" s="74" t="n">
        <f aca="false">V11+V13+V36</f>
        <v>258481.047351301</v>
      </c>
      <c r="W40" s="74" t="n">
        <f aca="false">W11+W13+W36</f>
        <v>192068.32145216</v>
      </c>
      <c r="X40" s="74" t="n">
        <f aca="false">X11+X13+X36</f>
        <v>58117.55</v>
      </c>
      <c r="Y40" s="74" t="n">
        <f aca="false">Y11+Y13+Y36</f>
        <v>315905.689778138</v>
      </c>
      <c r="Z40" s="74" t="n">
        <f aca="false">Z11+Z13+Z36</f>
        <v>176751.234418259</v>
      </c>
      <c r="AA40" s="74" t="n">
        <f aca="false">AA11+AA13+AA36</f>
        <v>347356.196185598</v>
      </c>
      <c r="AB40" s="74" t="n">
        <f aca="false">AB11+AB13+AB36</f>
        <v>113598.5</v>
      </c>
    </row>
    <row r="41" customFormat="false" ht="15" hidden="false" customHeight="false" outlineLevel="0" collapsed="false">
      <c r="A41" s="22" t="s">
        <v>459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customFormat="false" ht="15" hidden="false" customHeight="false" outlineLevel="0" collapsed="false">
      <c r="A42" s="28" t="s">
        <v>867</v>
      </c>
      <c r="B42" s="63"/>
      <c r="C42" s="64" t="n">
        <f aca="false">SUM(E42:P42)</f>
        <v>464861.321145035</v>
      </c>
      <c r="D42" s="64" t="n">
        <f aca="false">SUM(Q42:AB42)</f>
        <v>524861.579113003</v>
      </c>
      <c r="E42" s="74" t="n">
        <f aca="false">E14-E21</f>
        <v>408263.716666667</v>
      </c>
      <c r="F42" s="74" t="n">
        <f aca="false">F14-F21</f>
        <v>-143265.026666667</v>
      </c>
      <c r="G42" s="74" t="n">
        <f aca="false">G14-G21</f>
        <v>201423.16</v>
      </c>
      <c r="H42" s="74" t="n">
        <f aca="false">H14-H21</f>
        <v>134352.33</v>
      </c>
      <c r="I42" s="74" t="n">
        <f aca="false">I14-I21</f>
        <v>19501.2766666666</v>
      </c>
      <c r="J42" s="74" t="n">
        <f aca="false">J14-J21</f>
        <v>9703.51333333331</v>
      </c>
      <c r="K42" s="74" t="n">
        <f aca="false">K14-K21</f>
        <v>47189.4833333333</v>
      </c>
      <c r="L42" s="74" t="n">
        <f aca="false">L14-L21</f>
        <v>-187152.553333333</v>
      </c>
      <c r="M42" s="74" t="n">
        <f aca="false">M14-M21</f>
        <v>92018.85337812</v>
      </c>
      <c r="N42" s="74" t="n">
        <f aca="false">N14-N21</f>
        <v>-75153.0121971864</v>
      </c>
      <c r="O42" s="74" t="n">
        <f aca="false">O14-O21</f>
        <v>101272.916883531</v>
      </c>
      <c r="P42" s="74" t="n">
        <f aca="false">P14-P21</f>
        <v>-143293.336919429</v>
      </c>
      <c r="Q42" s="74" t="n">
        <f aca="false">Q14-Q21</f>
        <v>416834.826015762</v>
      </c>
      <c r="R42" s="74" t="n">
        <f aca="false">R14-R21</f>
        <v>-134997.131424548</v>
      </c>
      <c r="S42" s="74" t="n">
        <f aca="false">S14-S21</f>
        <v>206612.539751529</v>
      </c>
      <c r="T42" s="74" t="n">
        <f aca="false">T14-T21</f>
        <v>129678.436761086</v>
      </c>
      <c r="U42" s="74" t="n">
        <f aca="false">U14-U21</f>
        <v>-8357.64239238575</v>
      </c>
      <c r="V42" s="74" t="n">
        <f aca="false">V14-V21</f>
        <v>26561.8992063303</v>
      </c>
      <c r="W42" s="74" t="n">
        <f aca="false">W14-W21</f>
        <v>53859.5011604273</v>
      </c>
      <c r="X42" s="74" t="n">
        <f aca="false">X14-X21</f>
        <v>-188240.40843731</v>
      </c>
      <c r="Y42" s="74" t="n">
        <f aca="false">Y14-Y21</f>
        <v>115922.800901201</v>
      </c>
      <c r="Z42" s="74" t="n">
        <f aca="false">Z14-Z21</f>
        <v>-56075.5951027612</v>
      </c>
      <c r="AA42" s="74" t="n">
        <f aca="false">AA14-AA21</f>
        <v>107697.403265467</v>
      </c>
      <c r="AB42" s="74" t="n">
        <f aca="false">AB14-AB21</f>
        <v>-144635.050591794</v>
      </c>
    </row>
    <row r="43" customFormat="false" ht="15" hidden="false" customHeight="false" outlineLevel="0" collapsed="false">
      <c r="A43" s="28" t="s">
        <v>868</v>
      </c>
      <c r="B43" s="63"/>
      <c r="C43" s="68" t="n">
        <f aca="false">P43</f>
        <v>3.31117888329578</v>
      </c>
      <c r="D43" s="68" t="n">
        <f aca="false">AB43</f>
        <v>3.41616126705938</v>
      </c>
      <c r="E43" s="69" t="n">
        <f aca="false">IF(ARR_Bridge!E60=0,0,(E26+E30)/ARR_Bridge!E60)</f>
        <v>3.90161567700643</v>
      </c>
      <c r="F43" s="69" t="n">
        <f aca="false">IF(ARR_Bridge!F60=0,0,(F26+F30)/ARR_Bridge!F60)</f>
        <v>3.60911878004352</v>
      </c>
      <c r="G43" s="69" t="n">
        <f aca="false">IF(ARR_Bridge!G60=0,0,(G26+G30)/ARR_Bridge!G60)</f>
        <v>3.9452178508285</v>
      </c>
      <c r="H43" s="69" t="n">
        <f aca="false">IF(ARR_Bridge!H60=0,0,(H26+H30)/ARR_Bridge!H60)</f>
        <v>4.05545175682879</v>
      </c>
      <c r="I43" s="69" t="n">
        <f aca="false">IF(ARR_Bridge!I60=0,0,(I26+I30)/ARR_Bridge!I60)</f>
        <v>4.06020829628115</v>
      </c>
      <c r="J43" s="69" t="n">
        <f aca="false">IF(ARR_Bridge!J60=0,0,(J26+J30)/ARR_Bridge!J60)</f>
        <v>4.02024884835886</v>
      </c>
      <c r="K43" s="69" t="n">
        <f aca="false">IF(ARR_Bridge!K60=0,0,(K26+K30)/ARR_Bridge!K60)</f>
        <v>3.99255960694894</v>
      </c>
      <c r="L43" s="69" t="n">
        <f aca="false">IF(ARR_Bridge!L60=0,0,(L26+L30)/ARR_Bridge!L60)</f>
        <v>3.6102620944371</v>
      </c>
      <c r="M43" s="69" t="n">
        <f aca="false">IF(ARR_Bridge!M60=0,0,(M26+M30)/ARR_Bridge!M60)</f>
        <v>3.72033483312164</v>
      </c>
      <c r="N43" s="69" t="n">
        <f aca="false">IF(ARR_Bridge!N60=0,0,(N26+N30)/ARR_Bridge!N60)</f>
        <v>3.52239885119944</v>
      </c>
      <c r="O43" s="69" t="n">
        <f aca="false">IF(ARR_Bridge!O60=0,0,(O26+O30)/ARR_Bridge!O60)</f>
        <v>3.62730972870278</v>
      </c>
      <c r="P43" s="69" t="n">
        <f aca="false">IF(ARR_Bridge!P60=0,0,(P26+P30)/ARR_Bridge!P60)</f>
        <v>3.31117888329578</v>
      </c>
      <c r="Q43" s="69" t="n">
        <f aca="false">IF(ARR_Bridge!Q60=0,0,(Q26+Q30)/ARR_Bridge!Q60)</f>
        <v>3.89966152091879</v>
      </c>
      <c r="R43" s="69" t="n">
        <f aca="false">IF(ARR_Bridge!R60=0,0,(R26+R30)/ARR_Bridge!R60)</f>
        <v>3.60418878872961</v>
      </c>
      <c r="S43" s="69" t="n">
        <f aca="false">IF(ARR_Bridge!S60=0,0,(S26+S30)/ARR_Bridge!S60)</f>
        <v>3.87350598152152</v>
      </c>
      <c r="T43" s="69" t="n">
        <f aca="false">IF(ARR_Bridge!T60=0,0,(T26+T30)/ARR_Bridge!T60)</f>
        <v>4.01334778761511</v>
      </c>
      <c r="U43" s="69" t="n">
        <f aca="false">IF(ARR_Bridge!U60=0,0,(U26+U30)/ARR_Bridge!U60)</f>
        <v>3.95072515996019</v>
      </c>
      <c r="V43" s="69" t="n">
        <f aca="false">IF(ARR_Bridge!V60=0,0,(V26+V30)/ARR_Bridge!V60)</f>
        <v>3.92577373844987</v>
      </c>
      <c r="W43" s="69" t="n">
        <f aca="false">IF(ARR_Bridge!W60=0,0,(W26+W30)/ARR_Bridge!W60)</f>
        <v>3.94998753792494</v>
      </c>
      <c r="X43" s="69" t="n">
        <f aca="false">IF(ARR_Bridge!X60=0,0,(X26+X30)/ARR_Bridge!X60)</f>
        <v>3.61977145419275</v>
      </c>
      <c r="Y43" s="69" t="n">
        <f aca="false">IF(ARR_Bridge!Y60=0,0,(Y26+Y30)/ARR_Bridge!Y60)</f>
        <v>3.72533122144009</v>
      </c>
      <c r="Z43" s="69" t="n">
        <f aca="false">IF(ARR_Bridge!Z60=0,0,(Z26+Z30)/ARR_Bridge!Z60)</f>
        <v>3.576097669567</v>
      </c>
      <c r="AA43" s="69" t="n">
        <f aca="false">IF(ARR_Bridge!AA60=0,0,(AA26+AA30)/ARR_Bridge!AA60)</f>
        <v>3.67069499151637</v>
      </c>
      <c r="AB43" s="69" t="n">
        <f aca="false">IF(ARR_Bridge!AB60=0,0,(AB26+AB30)/ARR_Bridge!AB60)</f>
        <v>3.41616126705938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6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869</v>
      </c>
    </row>
    <row r="3" customFormat="false" ht="15" hidden="false" customHeight="false" outlineLevel="0" collapsed="false">
      <c r="A3" s="50" t="s">
        <v>870</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871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789</v>
      </c>
      <c r="B9" s="63" t="s">
        <v>872</v>
      </c>
      <c r="C9" s="64" t="n">
        <f aca="false">P9</f>
        <v>61552.1590284644</v>
      </c>
      <c r="D9" s="64" t="n">
        <f aca="false">AB9</f>
        <v>55845.5297843081</v>
      </c>
      <c r="E9" s="65" t="n">
        <f aca="false">IF(E$5="A",Inputs_Actuals!E9,History!$E$48*(1-Assumptions!$C$116*Assumptions!$F$169+Assumptions!$C$118*Assumptions!$F$171-Assumptions!$C$119*Assumptions!$F$169)*(1+Assumptions!E$198))</f>
        <v>70339.1</v>
      </c>
      <c r="F9" s="65" t="n">
        <f aca="false">IF(F$5="A",Inputs_Actuals!F9,E9*(1-Assumptions!$C$116*Assumptions!$F$169+Assumptions!$C$118*Assumptions!$F$171-Assumptions!$C$119*Assumptions!$F$169)*(1+Assumptions!F$198))</f>
        <v>68756.28</v>
      </c>
      <c r="G9" s="65" t="n">
        <f aca="false">IF(G$5="A",Inputs_Actuals!G9,F9*(1-Assumptions!$C$116*Assumptions!$F$169+Assumptions!$C$118*Assumptions!$F$171-Assumptions!$C$119*Assumptions!$F$169)*(1+Assumptions!G$198))</f>
        <v>68256.82</v>
      </c>
      <c r="H9" s="65" t="n">
        <f aca="false">IF(H$5="A",Inputs_Actuals!H9,G9*(1-Assumptions!$C$116*Assumptions!$F$169+Assumptions!$C$118*Assumptions!$F$171-Assumptions!$C$119*Assumptions!$F$169)*(1+Assumptions!H$198))</f>
        <v>67430.99</v>
      </c>
      <c r="I9" s="65" t="n">
        <f aca="false">IF(I$5="A",Inputs_Actuals!I9,H9*(1-Assumptions!$C$116*Assumptions!$F$169+Assumptions!$C$118*Assumptions!$F$171-Assumptions!$C$119*Assumptions!$F$169)*(1+Assumptions!I$198))</f>
        <v>66597.25</v>
      </c>
      <c r="J9" s="65" t="n">
        <f aca="false">IF(J$5="A",Inputs_Actuals!J9,I9*(1-Assumptions!$C$116*Assumptions!$F$169+Assumptions!$C$118*Assumptions!$F$171-Assumptions!$C$119*Assumptions!$F$169)*(1+Assumptions!J$198))</f>
        <v>65489.1</v>
      </c>
      <c r="K9" s="65" t="n">
        <f aca="false">IF(K$5="A",Inputs_Actuals!K9,J9*(1-Assumptions!$C$116*Assumptions!$F$169+Assumptions!$C$118*Assumptions!$F$171-Assumptions!$C$119*Assumptions!$F$169)*(1+Assumptions!K$198))</f>
        <v>65693.57</v>
      </c>
      <c r="L9" s="65" t="n">
        <f aca="false">IF(L$5="A",Inputs_Actuals!L9,K9*(1-Assumptions!$C$116*Assumptions!$F$169+Assumptions!$C$118*Assumptions!$F$171-Assumptions!$C$119*Assumptions!$F$169)*(1+Assumptions!L$198))</f>
        <v>64623.63</v>
      </c>
      <c r="M9" s="65" t="n">
        <f aca="false">IF(M$5="A",Inputs_Actuals!M9,L9*(1-Assumptions!$C$116*Assumptions!$F$169+Assumptions!$C$118*Assumptions!$F$171-Assumptions!$C$119*Assumptions!$F$169)*(1+Assumptions!M$198))</f>
        <v>63841.684077</v>
      </c>
      <c r="N9" s="65" t="n">
        <f aca="false">IF(N$5="A",Inputs_Actuals!N9,M9*(1-Assumptions!$C$116*Assumptions!$F$169+Assumptions!$C$118*Assumptions!$F$171-Assumptions!$C$119*Assumptions!$F$169)*(1+Assumptions!N$198))</f>
        <v>63069.1996996683</v>
      </c>
      <c r="O9" s="65" t="n">
        <f aca="false">IF(O$5="A",Inputs_Actuals!O9,N9*(1-Assumptions!$C$116*Assumptions!$F$169+Assumptions!$C$118*Assumptions!$F$171-Assumptions!$C$119*Assumptions!$F$169)*(1+Assumptions!O$198))</f>
        <v>62306.0623833023</v>
      </c>
      <c r="P9" s="65" t="n">
        <f aca="false">IF(P$5="A",Inputs_Actuals!P9,O9*(1-Assumptions!$C$116*Assumptions!$F$169+Assumptions!$C$118*Assumptions!$F$171-Assumptions!$C$119*Assumptions!$F$169)*(1+Assumptions!P$198))</f>
        <v>61552.1590284644</v>
      </c>
      <c r="Q9" s="65" t="n">
        <f aca="false">IF(Q$5="A",Inputs_Actuals!Q9,P9*(1-Assumptions!$C$116*Assumptions!$F$169+Assumptions!$C$118*Assumptions!$F$171-Assumptions!$C$119*Assumptions!$F$169)*(1+Assumptions!Q$198))</f>
        <v>63847.7467994309</v>
      </c>
      <c r="R9" s="65" t="n">
        <f aca="false">IF(R$5="A",Inputs_Actuals!R9,Q9*(1-Assumptions!$C$116*Assumptions!$F$169+Assumptions!$C$118*Assumptions!$F$171-Assumptions!$C$119*Assumptions!$F$169)*(1+Assumptions!R$198))</f>
        <v>63075.1890631578</v>
      </c>
      <c r="S9" s="65" t="n">
        <f aca="false">IF(S$5="A",Inputs_Actuals!S9,R9*(1-Assumptions!$C$116*Assumptions!$F$169+Assumptions!$C$118*Assumptions!$F$171-Assumptions!$C$119*Assumptions!$F$169)*(1+Assumptions!S$198))</f>
        <v>62311.9792754936</v>
      </c>
      <c r="T9" s="65" t="n">
        <f aca="false">IF(T$5="A",Inputs_Actuals!T9,S9*(1-Assumptions!$C$116*Assumptions!$F$169+Assumptions!$C$118*Assumptions!$F$171-Assumptions!$C$119*Assumptions!$F$169)*(1+Assumptions!T$198))</f>
        <v>61558.0043262601</v>
      </c>
      <c r="U9" s="65" t="n">
        <f aca="false">IF(U$5="A",Inputs_Actuals!U9,T9*(1-Assumptions!$C$116*Assumptions!$F$169+Assumptions!$C$118*Assumptions!$F$171-Assumptions!$C$119*Assumptions!$F$169)*(1+Assumptions!U$198))</f>
        <v>60813.1524739124</v>
      </c>
      <c r="V9" s="65" t="n">
        <f aca="false">IF(V$5="A",Inputs_Actuals!V9,U9*(1-Assumptions!$C$116*Assumptions!$F$169+Assumptions!$C$118*Assumptions!$F$171-Assumptions!$C$119*Assumptions!$F$169)*(1+Assumptions!V$198))</f>
        <v>60077.3133289781</v>
      </c>
      <c r="W9" s="65" t="n">
        <f aca="false">IF(W$5="A",Inputs_Actuals!W9,V9*(1-Assumptions!$C$116*Assumptions!$F$169+Assumptions!$C$118*Assumptions!$F$171-Assumptions!$C$119*Assumptions!$F$169)*(1+Assumptions!W$198))</f>
        <v>59350.3778376974</v>
      </c>
      <c r="X9" s="65" t="n">
        <f aca="false">IF(X$5="A",Inputs_Actuals!X9,W9*(1-Assumptions!$C$116*Assumptions!$F$169+Assumptions!$C$118*Assumptions!$F$171-Assumptions!$C$119*Assumptions!$F$169)*(1+Assumptions!X$198))</f>
        <v>58632.2382658613</v>
      </c>
      <c r="Y9" s="65" t="n">
        <f aca="false">IF(Y$5="A",Inputs_Actuals!Y9,X9*(1-Assumptions!$C$116*Assumptions!$F$169+Assumptions!$C$118*Assumptions!$F$171-Assumptions!$C$119*Assumptions!$F$169)*(1+Assumptions!Y$198))</f>
        <v>57922.7881828444</v>
      </c>
      <c r="Z9" s="65" t="n">
        <f aca="false">IF(Z$5="A",Inputs_Actuals!Z9,Y9*(1-Assumptions!$C$116*Assumptions!$F$169+Assumptions!$C$118*Assumptions!$F$171-Assumptions!$C$119*Assumptions!$F$169)*(1+Assumptions!Z$198))</f>
        <v>57221.9224458319</v>
      </c>
      <c r="AA9" s="65" t="n">
        <f aca="false">IF(AA$5="A",Inputs_Actuals!AA9,Z9*(1-Assumptions!$C$116*Assumptions!$F$169+Assumptions!$C$118*Assumptions!$F$171-Assumptions!$C$119*Assumptions!$F$169)*(1+Assumptions!AA$198))</f>
        <v>56529.5371842374</v>
      </c>
      <c r="AB9" s="65" t="n">
        <f aca="false">IF(AB$5="A",Inputs_Actuals!AB9,AA9*(1-Assumptions!$C$116*Assumptions!$F$169+Assumptions!$C$118*Assumptions!$F$171-Assumptions!$C$119*Assumptions!$F$169)*(1+Assumptions!AB$198))</f>
        <v>55845.5297843081</v>
      </c>
    </row>
    <row r="10" customFormat="false" ht="15" hidden="false" customHeight="false" outlineLevel="0" collapsed="false">
      <c r="A10" s="28" t="s">
        <v>873</v>
      </c>
      <c r="B10" s="63" t="s">
        <v>872</v>
      </c>
      <c r="C10" s="64" t="n">
        <f aca="false">P10</f>
        <v>3216.83879126528</v>
      </c>
      <c r="D10" s="64" t="n">
        <f aca="false">AB10</f>
        <v>2918.59894704663</v>
      </c>
      <c r="E10" s="65" t="n">
        <f aca="false">IF(E$5="A",Inputs_Actuals!E10,History!$E$49*(1-Assumptions!$C$116*Assumptions!$F$169+Assumptions!$C$118*Assumptions!$F$171-Assumptions!$C$119*Assumptions!$F$169)*(1+Assumptions!E$198))</f>
        <v>3452.61</v>
      </c>
      <c r="F10" s="65" t="n">
        <f aca="false">IF(F$5="A",Inputs_Actuals!F10,E10*(1-Assumptions!$C$116*Assumptions!$F$169+Assumptions!$C$118*Assumptions!$F$171-Assumptions!$C$119*Assumptions!$F$169)*(1+Assumptions!F$198))</f>
        <v>3485.92</v>
      </c>
      <c r="G10" s="65" t="n">
        <f aca="false">IF(G$5="A",Inputs_Actuals!G10,F10*(1-Assumptions!$C$116*Assumptions!$F$169+Assumptions!$C$118*Assumptions!$F$171-Assumptions!$C$119*Assumptions!$F$169)*(1+Assumptions!G$198))</f>
        <v>3278.56</v>
      </c>
      <c r="H10" s="65" t="n">
        <f aca="false">IF(H$5="A",Inputs_Actuals!H10,G10*(1-Assumptions!$C$116*Assumptions!$F$169+Assumptions!$C$118*Assumptions!$F$171-Assumptions!$C$119*Assumptions!$F$169)*(1+Assumptions!H$198))</f>
        <v>3292.4</v>
      </c>
      <c r="I10" s="65" t="n">
        <f aca="false">IF(I$5="A",Inputs_Actuals!I10,H10*(1-Assumptions!$C$116*Assumptions!$F$169+Assumptions!$C$118*Assumptions!$F$171-Assumptions!$C$119*Assumptions!$F$169)*(1+Assumptions!I$198))</f>
        <v>3313.97</v>
      </c>
      <c r="J10" s="65" t="n">
        <f aca="false">IF(J$5="A",Inputs_Actuals!J10,I10*(1-Assumptions!$C$116*Assumptions!$F$169+Assumptions!$C$118*Assumptions!$F$171-Assumptions!$C$119*Assumptions!$F$169)*(1+Assumptions!J$198))</f>
        <v>3333.21</v>
      </c>
      <c r="K10" s="65" t="n">
        <f aca="false">IF(K$5="A",Inputs_Actuals!K10,J10*(1-Assumptions!$C$116*Assumptions!$F$169+Assumptions!$C$118*Assumptions!$F$171-Assumptions!$C$119*Assumptions!$F$169)*(1+Assumptions!K$198))</f>
        <v>3353.77</v>
      </c>
      <c r="L10" s="65" t="n">
        <f aca="false">IF(L$5="A",Inputs_Actuals!L10,K10*(1-Assumptions!$C$116*Assumptions!$F$169+Assumptions!$C$118*Assumptions!$F$171-Assumptions!$C$119*Assumptions!$F$169)*(1+Assumptions!L$198))</f>
        <v>3377.36</v>
      </c>
      <c r="M10" s="65" t="n">
        <f aca="false">IF(M$5="A",Inputs_Actuals!M10,L10*(1-Assumptions!$C$116*Assumptions!$F$169+Assumptions!$C$118*Assumptions!$F$171-Assumptions!$C$119*Assumptions!$F$169)*(1+Assumptions!M$198))</f>
        <v>3336.493944</v>
      </c>
      <c r="N10" s="65" t="n">
        <f aca="false">IF(N$5="A",Inputs_Actuals!N10,M10*(1-Assumptions!$C$116*Assumptions!$F$169+Assumptions!$C$118*Assumptions!$F$171-Assumptions!$C$119*Assumptions!$F$169)*(1+Assumptions!N$198))</f>
        <v>3296.1223672776</v>
      </c>
      <c r="O10" s="65" t="n">
        <f aca="false">IF(O$5="A",Inputs_Actuals!O10,N10*(1-Assumptions!$C$116*Assumptions!$F$169+Assumptions!$C$118*Assumptions!$F$171-Assumptions!$C$119*Assumptions!$F$169)*(1+Assumptions!O$198))</f>
        <v>3256.23928663354</v>
      </c>
      <c r="P10" s="65" t="n">
        <f aca="false">IF(P$5="A",Inputs_Actuals!P10,O10*(1-Assumptions!$C$116*Assumptions!$F$169+Assumptions!$C$118*Assumptions!$F$171-Assumptions!$C$119*Assumptions!$F$169)*(1+Assumptions!P$198))</f>
        <v>3216.83879126528</v>
      </c>
      <c r="Q10" s="65" t="n">
        <f aca="false">IF(Q$5="A",Inputs_Actuals!Q10,P10*(1-Assumptions!$C$116*Assumptions!$F$169+Assumptions!$C$118*Assumptions!$F$171-Assumptions!$C$119*Assumptions!$F$169)*(1+Assumptions!Q$198))</f>
        <v>3336.81079398551</v>
      </c>
      <c r="R10" s="65" t="n">
        <f aca="false">IF(R$5="A",Inputs_Actuals!R10,Q10*(1-Assumptions!$C$116*Assumptions!$F$169+Assumptions!$C$118*Assumptions!$F$171-Assumptions!$C$119*Assumptions!$F$169)*(1+Assumptions!R$198))</f>
        <v>3296.43538337829</v>
      </c>
      <c r="S10" s="65" t="n">
        <f aca="false">IF(S$5="A",Inputs_Actuals!S10,R10*(1-Assumptions!$C$116*Assumptions!$F$169+Assumptions!$C$118*Assumptions!$F$171-Assumptions!$C$119*Assumptions!$F$169)*(1+Assumptions!S$198))</f>
        <v>3256.54851523941</v>
      </c>
      <c r="T10" s="65" t="n">
        <f aca="false">IF(T$5="A",Inputs_Actuals!T10,S10*(1-Assumptions!$C$116*Assumptions!$F$169+Assumptions!$C$118*Assumptions!$F$171-Assumptions!$C$119*Assumptions!$F$169)*(1+Assumptions!T$198))</f>
        <v>3217.14427820502</v>
      </c>
      <c r="U10" s="65" t="n">
        <f aca="false">IF(U$5="A",Inputs_Actuals!U10,T10*(1-Assumptions!$C$116*Assumptions!$F$169+Assumptions!$C$118*Assumptions!$F$171-Assumptions!$C$119*Assumptions!$F$169)*(1+Assumptions!U$198))</f>
        <v>3178.21683243874</v>
      </c>
      <c r="V10" s="65" t="n">
        <f aca="false">IF(V$5="A",Inputs_Actuals!V10,U10*(1-Assumptions!$C$116*Assumptions!$F$169+Assumptions!$C$118*Assumptions!$F$171-Assumptions!$C$119*Assumptions!$F$169)*(1+Assumptions!V$198))</f>
        <v>3139.76040876623</v>
      </c>
      <c r="W10" s="65" t="n">
        <f aca="false">IF(W$5="A",Inputs_Actuals!W10,V10*(1-Assumptions!$C$116*Assumptions!$F$169+Assumptions!$C$118*Assumptions!$F$171-Assumptions!$C$119*Assumptions!$F$169)*(1+Assumptions!W$198))</f>
        <v>3101.76930782016</v>
      </c>
      <c r="X10" s="65" t="n">
        <f aca="false">IF(X$5="A",Inputs_Actuals!X10,W10*(1-Assumptions!$C$116*Assumptions!$F$169+Assumptions!$C$118*Assumptions!$F$171-Assumptions!$C$119*Assumptions!$F$169)*(1+Assumptions!X$198))</f>
        <v>3064.23789919553</v>
      </c>
      <c r="Y10" s="65" t="n">
        <f aca="false">IF(Y$5="A",Inputs_Actuals!Y10,X10*(1-Assumptions!$C$116*Assumptions!$F$169+Assumptions!$C$118*Assumptions!$F$171-Assumptions!$C$119*Assumptions!$F$169)*(1+Assumptions!Y$198))</f>
        <v>3027.16062061527</v>
      </c>
      <c r="Z10" s="65" t="n">
        <f aca="false">IF(Z$5="A",Inputs_Actuals!Z10,Y10*(1-Assumptions!$C$116*Assumptions!$F$169+Assumptions!$C$118*Assumptions!$F$171-Assumptions!$C$119*Assumptions!$F$169)*(1+Assumptions!Z$198))</f>
        <v>2990.53197710582</v>
      </c>
      <c r="AA10" s="65" t="n">
        <f aca="false">IF(AA$5="A",Inputs_Actuals!AA10,Z10*(1-Assumptions!$C$116*Assumptions!$F$169+Assumptions!$C$118*Assumptions!$F$171-Assumptions!$C$119*Assumptions!$F$169)*(1+Assumptions!AA$198))</f>
        <v>2954.34654018284</v>
      </c>
      <c r="AB10" s="65" t="n">
        <f aca="false">IF(AB$5="A",Inputs_Actuals!AB10,AA10*(1-Assumptions!$C$116*Assumptions!$F$169+Assumptions!$C$118*Assumptions!$F$171-Assumptions!$C$119*Assumptions!$F$169)*(1+Assumptions!AB$198))</f>
        <v>2918.59894704663</v>
      </c>
    </row>
    <row r="11" customFormat="false" ht="15" hidden="false" customHeight="false" outlineLevel="0" collapsed="false">
      <c r="A11" s="28" t="s">
        <v>874</v>
      </c>
      <c r="B11" s="63" t="s">
        <v>872</v>
      </c>
      <c r="C11" s="64" t="n">
        <f aca="false">P11</f>
        <v>4616.71457492065</v>
      </c>
      <c r="D11" s="64" t="n">
        <f aca="false">AB11</f>
        <v>4188.68932250048</v>
      </c>
      <c r="E11" s="65" t="n">
        <f aca="false">IF(E$5="A",Inputs_Actuals!E11,History!$E$50*(1-Assumptions!$C$116*Assumptions!$F$169+Assumptions!$C$118*Assumptions!$F$171-Assumptions!$C$119*Assumptions!$F$169)*(1+Assumptions!E$198))</f>
        <v>4879.39</v>
      </c>
      <c r="F11" s="65" t="n">
        <f aca="false">IF(F$5="A",Inputs_Actuals!F11,E11*(1-Assumptions!$C$116*Assumptions!$F$169+Assumptions!$C$118*Assumptions!$F$171-Assumptions!$C$119*Assumptions!$F$169)*(1+Assumptions!F$198))</f>
        <v>4909.98</v>
      </c>
      <c r="G11" s="65" t="n">
        <f aca="false">IF(G$5="A",Inputs_Actuals!G11,F11*(1-Assumptions!$C$116*Assumptions!$F$169+Assumptions!$C$118*Assumptions!$F$171-Assumptions!$C$119*Assumptions!$F$169)*(1+Assumptions!G$198))</f>
        <v>4952.42</v>
      </c>
      <c r="H11" s="65" t="n">
        <f aca="false">IF(H$5="A",Inputs_Actuals!H11,G11*(1-Assumptions!$C$116*Assumptions!$F$169+Assumptions!$C$118*Assumptions!$F$171-Assumptions!$C$119*Assumptions!$F$169)*(1+Assumptions!H$198))</f>
        <v>4989.88</v>
      </c>
      <c r="I11" s="65" t="n">
        <f aca="false">IF(I$5="A",Inputs_Actuals!I11,H11*(1-Assumptions!$C$116*Assumptions!$F$169+Assumptions!$C$118*Assumptions!$F$171-Assumptions!$C$119*Assumptions!$F$169)*(1+Assumptions!I$198))</f>
        <v>5021.6</v>
      </c>
      <c r="J11" s="65" t="n">
        <f aca="false">IF(J$5="A",Inputs_Actuals!J11,I11*(1-Assumptions!$C$116*Assumptions!$F$169+Assumptions!$C$118*Assumptions!$F$171-Assumptions!$C$119*Assumptions!$F$169)*(1+Assumptions!J$198))</f>
        <v>5053.45</v>
      </c>
      <c r="K11" s="65" t="n">
        <f aca="false">IF(K$5="A",Inputs_Actuals!K11,J11*(1-Assumptions!$C$116*Assumptions!$F$169+Assumptions!$C$118*Assumptions!$F$171-Assumptions!$C$119*Assumptions!$F$169)*(1+Assumptions!K$198))</f>
        <v>4826.99</v>
      </c>
      <c r="L11" s="65" t="n">
        <f aca="false">IF(L$5="A",Inputs_Actuals!L11,K11*(1-Assumptions!$C$116*Assumptions!$F$169+Assumptions!$C$118*Assumptions!$F$171-Assumptions!$C$119*Assumptions!$F$169)*(1+Assumptions!L$198))</f>
        <v>4847.09</v>
      </c>
      <c r="M11" s="65" t="n">
        <f aca="false">IF(M$5="A",Inputs_Actuals!M11,L11*(1-Assumptions!$C$116*Assumptions!$F$169+Assumptions!$C$118*Assumptions!$F$171-Assumptions!$C$119*Assumptions!$F$169)*(1+Assumptions!M$198))</f>
        <v>4788.440211</v>
      </c>
      <c r="N11" s="65" t="n">
        <f aca="false">IF(N$5="A",Inputs_Actuals!N11,M11*(1-Assumptions!$C$116*Assumptions!$F$169+Assumptions!$C$118*Assumptions!$F$171-Assumptions!$C$119*Assumptions!$F$169)*(1+Assumptions!N$198))</f>
        <v>4730.5000844469</v>
      </c>
      <c r="O11" s="65" t="n">
        <f aca="false">IF(O$5="A",Inputs_Actuals!O11,N11*(1-Assumptions!$C$116*Assumptions!$F$169+Assumptions!$C$118*Assumptions!$F$171-Assumptions!$C$119*Assumptions!$F$169)*(1+Assumptions!O$198))</f>
        <v>4673.26103342509</v>
      </c>
      <c r="P11" s="65" t="n">
        <f aca="false">IF(P$5="A",Inputs_Actuals!P11,O11*(1-Assumptions!$C$116*Assumptions!$F$169+Assumptions!$C$118*Assumptions!$F$171-Assumptions!$C$119*Assumptions!$F$169)*(1+Assumptions!P$198))</f>
        <v>4616.71457492065</v>
      </c>
      <c r="Q11" s="65" t="n">
        <f aca="false">IF(Q$5="A",Inputs_Actuals!Q11,P11*(1-Assumptions!$C$116*Assumptions!$F$169+Assumptions!$C$118*Assumptions!$F$171-Assumptions!$C$119*Assumptions!$F$169)*(1+Assumptions!Q$198))</f>
        <v>4788.89494499232</v>
      </c>
      <c r="R11" s="65" t="n">
        <f aca="false">IF(R$5="A",Inputs_Actuals!R11,Q11*(1-Assumptions!$C$116*Assumptions!$F$169+Assumptions!$C$118*Assumptions!$F$171-Assumptions!$C$119*Assumptions!$F$169)*(1+Assumptions!R$198))</f>
        <v>4730.94931615791</v>
      </c>
      <c r="S11" s="65" t="n">
        <f aca="false">IF(S$5="A",Inputs_Actuals!S11,R11*(1-Assumptions!$C$116*Assumptions!$F$169+Assumptions!$C$118*Assumptions!$F$171-Assumptions!$C$119*Assumptions!$F$169)*(1+Assumptions!S$198))</f>
        <v>4673.7048294324</v>
      </c>
      <c r="T11" s="65" t="n">
        <f aca="false">IF(T$5="A",Inputs_Actuals!T11,S11*(1-Assumptions!$C$116*Assumptions!$F$169+Assumptions!$C$118*Assumptions!$F$171-Assumptions!$C$119*Assumptions!$F$169)*(1+Assumptions!T$198))</f>
        <v>4617.15300099626</v>
      </c>
      <c r="U11" s="65" t="n">
        <f aca="false">IF(U$5="A",Inputs_Actuals!U11,T11*(1-Assumptions!$C$116*Assumptions!$F$169+Assumptions!$C$118*Assumptions!$F$171-Assumptions!$C$119*Assumptions!$F$169)*(1+Assumptions!U$198))</f>
        <v>4561.28544968421</v>
      </c>
      <c r="V11" s="65" t="n">
        <f aca="false">IF(V$5="A",Inputs_Actuals!V11,U11*(1-Assumptions!$C$116*Assumptions!$F$169+Assumptions!$C$118*Assumptions!$F$171-Assumptions!$C$119*Assumptions!$F$169)*(1+Assumptions!V$198))</f>
        <v>4506.09389574303</v>
      </c>
      <c r="W11" s="65" t="n">
        <f aca="false">IF(W$5="A",Inputs_Actuals!W11,V11*(1-Assumptions!$C$116*Assumptions!$F$169+Assumptions!$C$118*Assumptions!$F$171-Assumptions!$C$119*Assumptions!$F$169)*(1+Assumptions!W$198))</f>
        <v>4451.57015960454</v>
      </c>
      <c r="X11" s="65" t="n">
        <f aca="false">IF(X$5="A",Inputs_Actuals!X11,W11*(1-Assumptions!$C$116*Assumptions!$F$169+Assumptions!$C$118*Assumptions!$F$171-Assumptions!$C$119*Assumptions!$F$169)*(1+Assumptions!X$198))</f>
        <v>4397.70616067332</v>
      </c>
      <c r="Y11" s="65" t="n">
        <f aca="false">IF(Y$5="A",Inputs_Actuals!Y11,X11*(1-Assumptions!$C$116*Assumptions!$F$169+Assumptions!$C$118*Assumptions!$F$171-Assumptions!$C$119*Assumptions!$F$169)*(1+Assumptions!Y$198))</f>
        <v>4344.49391612918</v>
      </c>
      <c r="Z11" s="65" t="n">
        <f aca="false">IF(Z$5="A",Inputs_Actuals!Z11,Y11*(1-Assumptions!$C$116*Assumptions!$F$169+Assumptions!$C$118*Assumptions!$F$171-Assumptions!$C$119*Assumptions!$F$169)*(1+Assumptions!Z$198))</f>
        <v>4291.92553974401</v>
      </c>
      <c r="AA11" s="65" t="n">
        <f aca="false">IF(AA$5="A",Inputs_Actuals!AA11,Z11*(1-Assumptions!$C$116*Assumptions!$F$169+Assumptions!$C$118*Assumptions!$F$171-Assumptions!$C$119*Assumptions!$F$169)*(1+Assumptions!AA$198))</f>
        <v>4239.99324071311</v>
      </c>
      <c r="AB11" s="65" t="n">
        <f aca="false">IF(AB$5="A",Inputs_Actuals!AB11,AA11*(1-Assumptions!$C$116*Assumptions!$F$169+Assumptions!$C$118*Assumptions!$F$171-Assumptions!$C$119*Assumptions!$F$169)*(1+Assumptions!AB$198))</f>
        <v>4188.68932250048</v>
      </c>
    </row>
    <row r="12" customFormat="false" ht="15" hidden="false" customHeight="false" outlineLevel="0" collapsed="false">
      <c r="A12" s="28" t="s">
        <v>875</v>
      </c>
      <c r="B12" s="63" t="s">
        <v>872</v>
      </c>
      <c r="C12" s="64" t="n">
        <f aca="false">P12</f>
        <v>3533.48790659682</v>
      </c>
      <c r="D12" s="64" t="n">
        <f aca="false">AB12</f>
        <v>3205.89086142521</v>
      </c>
      <c r="E12" s="65" t="n">
        <f aca="false">IF(E$5="A",Inputs_Actuals!E12,History!$E$51*(1-Assumptions!$C$116*Assumptions!$F$169+Assumptions!$C$118*Assumptions!$F$171-Assumptions!$C$119*Assumptions!$F$169)*(1+Assumptions!E$198))</f>
        <v>3747.87</v>
      </c>
      <c r="F12" s="65" t="n">
        <f aca="false">IF(F$5="A",Inputs_Actuals!F12,E12*(1-Assumptions!$C$116*Assumptions!$F$169+Assumptions!$C$118*Assumptions!$F$171-Assumptions!$C$119*Assumptions!$F$169)*(1+Assumptions!F$198))</f>
        <v>3775.53</v>
      </c>
      <c r="G12" s="65" t="n">
        <f aca="false">IF(G$5="A",Inputs_Actuals!G12,F12*(1-Assumptions!$C$116*Assumptions!$F$169+Assumptions!$C$118*Assumptions!$F$171-Assumptions!$C$119*Assumptions!$F$169)*(1+Assumptions!G$198))</f>
        <v>3819.37</v>
      </c>
      <c r="H12" s="65" t="n">
        <f aca="false">IF(H$5="A",Inputs_Actuals!H12,G12*(1-Assumptions!$C$116*Assumptions!$F$169+Assumptions!$C$118*Assumptions!$F$171-Assumptions!$C$119*Assumptions!$F$169)*(1+Assumptions!H$198))</f>
        <v>3852.32</v>
      </c>
      <c r="I12" s="65" t="n">
        <f aca="false">IF(I$5="A",Inputs_Actuals!I12,H12*(1-Assumptions!$C$116*Assumptions!$F$169+Assumptions!$C$118*Assumptions!$F$171-Assumptions!$C$119*Assumptions!$F$169)*(1+Assumptions!I$198))</f>
        <v>3652.64</v>
      </c>
      <c r="J12" s="65" t="n">
        <f aca="false">IF(J$5="A",Inputs_Actuals!J12,I12*(1-Assumptions!$C$116*Assumptions!$F$169+Assumptions!$C$118*Assumptions!$F$171-Assumptions!$C$119*Assumptions!$F$169)*(1+Assumptions!J$198))</f>
        <v>3674.66</v>
      </c>
      <c r="K12" s="65" t="n">
        <f aca="false">IF(K$5="A",Inputs_Actuals!K12,J12*(1-Assumptions!$C$116*Assumptions!$F$169+Assumptions!$C$118*Assumptions!$F$171-Assumptions!$C$119*Assumptions!$F$169)*(1+Assumptions!K$198))</f>
        <v>3685.62</v>
      </c>
      <c r="L12" s="65" t="n">
        <f aca="false">IF(L$5="A",Inputs_Actuals!L12,K12*(1-Assumptions!$C$116*Assumptions!$F$169+Assumptions!$C$118*Assumptions!$F$171-Assumptions!$C$119*Assumptions!$F$169)*(1+Assumptions!L$198))</f>
        <v>3709.81</v>
      </c>
      <c r="M12" s="65" t="n">
        <f aca="false">IF(M$5="A",Inputs_Actuals!M12,L12*(1-Assumptions!$C$116*Assumptions!$F$169+Assumptions!$C$118*Assumptions!$F$171-Assumptions!$C$119*Assumptions!$F$169)*(1+Assumptions!M$198))</f>
        <v>3664.921299</v>
      </c>
      <c r="N12" s="65" t="n">
        <f aca="false">IF(N$5="A",Inputs_Actuals!N12,M12*(1-Assumptions!$C$116*Assumptions!$F$169+Assumptions!$C$118*Assumptions!$F$171-Assumptions!$C$119*Assumptions!$F$169)*(1+Assumptions!N$198))</f>
        <v>3620.5757512821</v>
      </c>
      <c r="O12" s="65" t="n">
        <f aca="false">IF(O$5="A",Inputs_Actuals!O12,N12*(1-Assumptions!$C$116*Assumptions!$F$169+Assumptions!$C$118*Assumptions!$F$171-Assumptions!$C$119*Assumptions!$F$169)*(1+Assumptions!O$198))</f>
        <v>3576.76678469159</v>
      </c>
      <c r="P12" s="65" t="n">
        <f aca="false">IF(P$5="A",Inputs_Actuals!P12,O12*(1-Assumptions!$C$116*Assumptions!$F$169+Assumptions!$C$118*Assumptions!$F$171-Assumptions!$C$119*Assumptions!$F$169)*(1+Assumptions!P$198))</f>
        <v>3533.48790659682</v>
      </c>
      <c r="Q12" s="65" t="n">
        <f aca="false">IF(Q$5="A",Inputs_Actuals!Q12,P12*(1-Assumptions!$C$116*Assumptions!$F$169+Assumptions!$C$118*Assumptions!$F$171-Assumptions!$C$119*Assumptions!$F$169)*(1+Assumptions!Q$198))</f>
        <v>3665.26933807335</v>
      </c>
      <c r="R12" s="65" t="n">
        <f aca="false">IF(R$5="A",Inputs_Actuals!R12,Q12*(1-Assumptions!$C$116*Assumptions!$F$169+Assumptions!$C$118*Assumptions!$F$171-Assumptions!$C$119*Assumptions!$F$169)*(1+Assumptions!R$198))</f>
        <v>3620.91957908266</v>
      </c>
      <c r="S12" s="65" t="n">
        <f aca="false">IF(S$5="A",Inputs_Actuals!S12,R12*(1-Assumptions!$C$116*Assumptions!$F$169+Assumptions!$C$118*Assumptions!$F$171-Assumptions!$C$119*Assumptions!$F$169)*(1+Assumptions!S$198))</f>
        <v>3577.10645217576</v>
      </c>
      <c r="T12" s="65" t="n">
        <f aca="false">IF(T$5="A",Inputs_Actuals!T12,S12*(1-Assumptions!$C$116*Assumptions!$F$169+Assumptions!$C$118*Assumptions!$F$171-Assumptions!$C$119*Assumptions!$F$169)*(1+Assumptions!T$198))</f>
        <v>3533.82346410443</v>
      </c>
      <c r="U12" s="65" t="n">
        <f aca="false">IF(U$5="A",Inputs_Actuals!U12,T12*(1-Assumptions!$C$116*Assumptions!$F$169+Assumptions!$C$118*Assumptions!$F$171-Assumptions!$C$119*Assumptions!$F$169)*(1+Assumptions!U$198))</f>
        <v>3491.06420018877</v>
      </c>
      <c r="V12" s="65" t="n">
        <f aca="false">IF(V$5="A",Inputs_Actuals!V12,U12*(1-Assumptions!$C$116*Assumptions!$F$169+Assumptions!$C$118*Assumptions!$F$171-Assumptions!$C$119*Assumptions!$F$169)*(1+Assumptions!V$198))</f>
        <v>3448.82232336648</v>
      </c>
      <c r="W12" s="65" t="n">
        <f aca="false">IF(W$5="A",Inputs_Actuals!W12,V12*(1-Assumptions!$C$116*Assumptions!$F$169+Assumptions!$C$118*Assumptions!$F$171-Assumptions!$C$119*Assumptions!$F$169)*(1+Assumptions!W$198))</f>
        <v>3407.09157325375</v>
      </c>
      <c r="X12" s="65" t="n">
        <f aca="false">IF(X$5="A",Inputs_Actuals!X12,W12*(1-Assumptions!$C$116*Assumptions!$F$169+Assumptions!$C$118*Assumptions!$F$171-Assumptions!$C$119*Assumptions!$F$169)*(1+Assumptions!X$198))</f>
        <v>3365.86576521738</v>
      </c>
      <c r="Y12" s="65" t="n">
        <f aca="false">IF(Y$5="A",Inputs_Actuals!Y12,X12*(1-Assumptions!$C$116*Assumptions!$F$169+Assumptions!$C$118*Assumptions!$F$171-Assumptions!$C$119*Assumptions!$F$169)*(1+Assumptions!Y$198))</f>
        <v>3325.13878945825</v>
      </c>
      <c r="Z12" s="65" t="n">
        <f aca="false">IF(Z$5="A",Inputs_Actuals!Z12,Y12*(1-Assumptions!$C$116*Assumptions!$F$169+Assumptions!$C$118*Assumptions!$F$171-Assumptions!$C$119*Assumptions!$F$169)*(1+Assumptions!Z$198))</f>
        <v>3284.9046101058</v>
      </c>
      <c r="AA12" s="65" t="n">
        <f aca="false">IF(AA$5="A",Inputs_Actuals!AA12,Z12*(1-Assumptions!$C$116*Assumptions!$F$169+Assumptions!$C$118*Assumptions!$F$171-Assumptions!$C$119*Assumptions!$F$169)*(1+Assumptions!AA$198))</f>
        <v>3245.15726432352</v>
      </c>
      <c r="AB12" s="65" t="n">
        <f aca="false">IF(AB$5="A",Inputs_Actuals!AB12,AA12*(1-Assumptions!$C$116*Assumptions!$F$169+Assumptions!$C$118*Assumptions!$F$171-Assumptions!$C$119*Assumptions!$F$169)*(1+Assumptions!AB$198))</f>
        <v>3205.89086142521</v>
      </c>
    </row>
    <row r="13" customFormat="false" ht="15" hidden="false" customHeight="false" outlineLevel="0" collapsed="false">
      <c r="A13" s="28" t="s">
        <v>876</v>
      </c>
      <c r="B13" s="63" t="s">
        <v>872</v>
      </c>
      <c r="C13" s="64" t="n">
        <f aca="false">P13</f>
        <v>3169.68193248933</v>
      </c>
      <c r="D13" s="64" t="n">
        <f aca="false">AB13</f>
        <v>2875.81409915707</v>
      </c>
      <c r="E13" s="65" t="n">
        <f aca="false">IF(E$5="A",Inputs_Actuals!E13,History!$E$52*(1-Assumptions!$C$116*Assumptions!$F$169+Assumptions!$C$118*Assumptions!$F$171-Assumptions!$C$119*Assumptions!$F$169)*(1+Assumptions!E$198))</f>
        <v>3600.54</v>
      </c>
      <c r="F13" s="65" t="n">
        <f aca="false">IF(F$5="A",Inputs_Actuals!F13,E13*(1-Assumptions!$C$116*Assumptions!$F$169+Assumptions!$C$118*Assumptions!$F$171-Assumptions!$C$119*Assumptions!$F$169)*(1+Assumptions!F$198))</f>
        <v>3603.62</v>
      </c>
      <c r="G13" s="65" t="n">
        <f aca="false">IF(G$5="A",Inputs_Actuals!G13,F13*(1-Assumptions!$C$116*Assumptions!$F$169+Assumptions!$C$118*Assumptions!$F$171-Assumptions!$C$119*Assumptions!$F$169)*(1+Assumptions!G$198))</f>
        <v>3632.1</v>
      </c>
      <c r="H13" s="65" t="n">
        <f aca="false">IF(H$5="A",Inputs_Actuals!H13,G13*(1-Assumptions!$C$116*Assumptions!$F$169+Assumptions!$C$118*Assumptions!$F$171-Assumptions!$C$119*Assumptions!$F$169)*(1+Assumptions!H$198))</f>
        <v>3451.63</v>
      </c>
      <c r="I13" s="65" t="n">
        <f aca="false">IF(I$5="A",Inputs_Actuals!I13,H13*(1-Assumptions!$C$116*Assumptions!$F$169+Assumptions!$C$118*Assumptions!$F$171-Assumptions!$C$119*Assumptions!$F$169)*(1+Assumptions!I$198))</f>
        <v>3469.09</v>
      </c>
      <c r="J13" s="65" t="n">
        <f aca="false">IF(J$5="A",Inputs_Actuals!J13,I13*(1-Assumptions!$C$116*Assumptions!$F$169+Assumptions!$C$118*Assumptions!$F$171-Assumptions!$C$119*Assumptions!$F$169)*(1+Assumptions!J$198))</f>
        <v>3492.76</v>
      </c>
      <c r="K13" s="65" t="n">
        <f aca="false">IF(K$5="A",Inputs_Actuals!K13,J13*(1-Assumptions!$C$116*Assumptions!$F$169+Assumptions!$C$118*Assumptions!$F$171-Assumptions!$C$119*Assumptions!$F$169)*(1+Assumptions!K$198))</f>
        <v>3510.53</v>
      </c>
      <c r="L13" s="65" t="n">
        <f aca="false">IF(L$5="A",Inputs_Actuals!L13,K13*(1-Assumptions!$C$116*Assumptions!$F$169+Assumptions!$C$118*Assumptions!$F$171-Assumptions!$C$119*Assumptions!$F$169)*(1+Assumptions!L$198))</f>
        <v>3327.85</v>
      </c>
      <c r="M13" s="65" t="n">
        <f aca="false">IF(M$5="A",Inputs_Actuals!M13,L13*(1-Assumptions!$C$116*Assumptions!$F$169+Assumptions!$C$118*Assumptions!$F$171-Assumptions!$C$119*Assumptions!$F$169)*(1+Assumptions!M$198))</f>
        <v>3287.583015</v>
      </c>
      <c r="N13" s="65" t="n">
        <f aca="false">IF(N$5="A",Inputs_Actuals!N13,M13*(1-Assumptions!$C$116*Assumptions!$F$169+Assumptions!$C$118*Assumptions!$F$171-Assumptions!$C$119*Assumptions!$F$169)*(1+Assumptions!N$198))</f>
        <v>3247.8032605185</v>
      </c>
      <c r="O13" s="65" t="n">
        <f aca="false">IF(O$5="A",Inputs_Actuals!O13,N13*(1-Assumptions!$C$116*Assumptions!$F$169+Assumptions!$C$118*Assumptions!$F$171-Assumptions!$C$119*Assumptions!$F$169)*(1+Assumptions!O$198))</f>
        <v>3208.50484106623</v>
      </c>
      <c r="P13" s="65" t="n">
        <f aca="false">IF(P$5="A",Inputs_Actuals!P13,O13*(1-Assumptions!$C$116*Assumptions!$F$169+Assumptions!$C$118*Assumptions!$F$171-Assumptions!$C$119*Assumptions!$F$169)*(1+Assumptions!P$198))</f>
        <v>3169.68193248933</v>
      </c>
      <c r="Q13" s="65" t="n">
        <f aca="false">IF(Q$5="A",Inputs_Actuals!Q13,P13*(1-Assumptions!$C$116*Assumptions!$F$169+Assumptions!$C$118*Assumptions!$F$171-Assumptions!$C$119*Assumptions!$F$169)*(1+Assumptions!Q$198))</f>
        <v>3287.89522016151</v>
      </c>
      <c r="R13" s="65" t="n">
        <f aca="false">IF(R$5="A",Inputs_Actuals!R13,Q13*(1-Assumptions!$C$116*Assumptions!$F$169+Assumptions!$C$118*Assumptions!$F$171-Assumptions!$C$119*Assumptions!$F$169)*(1+Assumptions!R$198))</f>
        <v>3248.11168799756</v>
      </c>
      <c r="S13" s="65" t="n">
        <f aca="false">IF(S$5="A",Inputs_Actuals!S13,R13*(1-Assumptions!$C$116*Assumptions!$F$169+Assumptions!$C$118*Assumptions!$F$171-Assumptions!$C$119*Assumptions!$F$169)*(1+Assumptions!S$198))</f>
        <v>3208.80953657279</v>
      </c>
      <c r="T13" s="65" t="n">
        <f aca="false">IF(T$5="A",Inputs_Actuals!T13,S13*(1-Assumptions!$C$116*Assumptions!$F$169+Assumptions!$C$118*Assumptions!$F$171-Assumptions!$C$119*Assumptions!$F$169)*(1+Assumptions!T$198))</f>
        <v>3169.98294118026</v>
      </c>
      <c r="U13" s="65" t="n">
        <f aca="false">IF(U$5="A",Inputs_Actuals!U13,T13*(1-Assumptions!$C$116*Assumptions!$F$169+Assumptions!$C$118*Assumptions!$F$171-Assumptions!$C$119*Assumptions!$F$169)*(1+Assumptions!U$198))</f>
        <v>3131.62614759198</v>
      </c>
      <c r="V13" s="65" t="n">
        <f aca="false">IF(V$5="A",Inputs_Actuals!V13,U13*(1-Assumptions!$C$116*Assumptions!$F$169+Assumptions!$C$118*Assumptions!$F$171-Assumptions!$C$119*Assumptions!$F$169)*(1+Assumptions!V$198))</f>
        <v>3093.73347120611</v>
      </c>
      <c r="W13" s="65" t="n">
        <f aca="false">IF(W$5="A",Inputs_Actuals!W13,V13*(1-Assumptions!$C$116*Assumptions!$F$169+Assumptions!$C$118*Assumptions!$F$171-Assumptions!$C$119*Assumptions!$F$169)*(1+Assumptions!W$198))</f>
        <v>3056.29929620452</v>
      </c>
      <c r="X13" s="65" t="n">
        <f aca="false">IF(X$5="A",Inputs_Actuals!X13,W13*(1-Assumptions!$C$116*Assumptions!$F$169+Assumptions!$C$118*Assumptions!$F$171-Assumptions!$C$119*Assumptions!$F$169)*(1+Assumptions!X$198))</f>
        <v>3019.31807472045</v>
      </c>
      <c r="Y13" s="65" t="n">
        <f aca="false">IF(Y$5="A",Inputs_Actuals!Y13,X13*(1-Assumptions!$C$116*Assumptions!$F$169+Assumptions!$C$118*Assumptions!$F$171-Assumptions!$C$119*Assumptions!$F$169)*(1+Assumptions!Y$198))</f>
        <v>2982.78432601633</v>
      </c>
      <c r="Z13" s="65" t="n">
        <f aca="false">IF(Z$5="A",Inputs_Actuals!Z13,Y13*(1-Assumptions!$C$116*Assumptions!$F$169+Assumptions!$C$118*Assumptions!$F$171-Assumptions!$C$119*Assumptions!$F$169)*(1+Assumptions!Z$198))</f>
        <v>2946.69263567153</v>
      </c>
      <c r="AA13" s="65" t="n">
        <f aca="false">IF(AA$5="A",Inputs_Actuals!AA13,Z13*(1-Assumptions!$C$116*Assumptions!$F$169+Assumptions!$C$118*Assumptions!$F$171-Assumptions!$C$119*Assumptions!$F$169)*(1+Assumptions!AA$198))</f>
        <v>2911.03765477991</v>
      </c>
      <c r="AB13" s="65" t="n">
        <f aca="false">IF(AB$5="A",Inputs_Actuals!AB13,AA13*(1-Assumptions!$C$116*Assumptions!$F$169+Assumptions!$C$118*Assumptions!$F$171-Assumptions!$C$119*Assumptions!$F$169)*(1+Assumptions!AB$198))</f>
        <v>2875.81409915707</v>
      </c>
    </row>
    <row r="14" customFormat="false" ht="15" hidden="false" customHeight="false" outlineLevel="0" collapsed="false">
      <c r="A14" s="28" t="s">
        <v>877</v>
      </c>
      <c r="B14" s="63" t="s">
        <v>872</v>
      </c>
      <c r="C14" s="64" t="n">
        <f aca="false">P14</f>
        <v>2295.05602442647</v>
      </c>
      <c r="D14" s="64" t="n">
        <f aca="false">AB14</f>
        <v>2082.2765860982</v>
      </c>
      <c r="E14" s="65" t="n">
        <f aca="false">IF(E$5="A",Inputs_Actuals!E14,History!$E$53*(1-Assumptions!$C$116*Assumptions!$F$169+Assumptions!$C$118*Assumptions!$F$171-Assumptions!$C$119*Assumptions!$F$169)*(1+Assumptions!E$198))</f>
        <v>2538.56</v>
      </c>
      <c r="F14" s="65" t="n">
        <f aca="false">IF(F$5="A",Inputs_Actuals!F14,E14*(1-Assumptions!$C$116*Assumptions!$F$169+Assumptions!$C$118*Assumptions!$F$171-Assumptions!$C$119*Assumptions!$F$169)*(1+Assumptions!F$198))</f>
        <v>2540.38</v>
      </c>
      <c r="G14" s="65" t="n">
        <f aca="false">IF(G$5="A",Inputs_Actuals!G14,F14*(1-Assumptions!$C$116*Assumptions!$F$169+Assumptions!$C$118*Assumptions!$F$171-Assumptions!$C$119*Assumptions!$F$169)*(1+Assumptions!G$198))</f>
        <v>2338.97</v>
      </c>
      <c r="H14" s="65" t="n">
        <f aca="false">IF(H$5="A",Inputs_Actuals!H14,G14*(1-Assumptions!$C$116*Assumptions!$F$169+Assumptions!$C$118*Assumptions!$F$171-Assumptions!$C$119*Assumptions!$F$169)*(1+Assumptions!H$198))</f>
        <v>2357.57</v>
      </c>
      <c r="I14" s="65" t="n">
        <f aca="false">IF(I$5="A",Inputs_Actuals!I14,H14*(1-Assumptions!$C$116*Assumptions!$F$169+Assumptions!$C$118*Assumptions!$F$171-Assumptions!$C$119*Assumptions!$F$169)*(1+Assumptions!I$198))</f>
        <v>2374.87</v>
      </c>
      <c r="J14" s="65" t="n">
        <f aca="false">IF(J$5="A",Inputs_Actuals!J14,I14*(1-Assumptions!$C$116*Assumptions!$F$169+Assumptions!$C$118*Assumptions!$F$171-Assumptions!$C$119*Assumptions!$F$169)*(1+Assumptions!J$198))</f>
        <v>2385.77</v>
      </c>
      <c r="K14" s="65" t="n">
        <f aca="false">IF(K$5="A",Inputs_Actuals!K14,J14*(1-Assumptions!$C$116*Assumptions!$F$169+Assumptions!$C$118*Assumptions!$F$171-Assumptions!$C$119*Assumptions!$F$169)*(1+Assumptions!K$198))</f>
        <v>2400.19</v>
      </c>
      <c r="L14" s="65" t="n">
        <f aca="false">IF(L$5="A",Inputs_Actuals!L14,K14*(1-Assumptions!$C$116*Assumptions!$F$169+Assumptions!$C$118*Assumptions!$F$171-Assumptions!$C$119*Assumptions!$F$169)*(1+Assumptions!L$198))</f>
        <v>2409.58</v>
      </c>
      <c r="M14" s="65" t="n">
        <f aca="false">IF(M$5="A",Inputs_Actuals!M14,L14*(1-Assumptions!$C$116*Assumptions!$F$169+Assumptions!$C$118*Assumptions!$F$171-Assumptions!$C$119*Assumptions!$F$169)*(1+Assumptions!M$198))</f>
        <v>2380.424082</v>
      </c>
      <c r="N14" s="65" t="n">
        <f aca="false">IF(N$5="A",Inputs_Actuals!N14,M14*(1-Assumptions!$C$116*Assumptions!$F$169+Assumptions!$C$118*Assumptions!$F$171-Assumptions!$C$119*Assumptions!$F$169)*(1+Assumptions!N$198))</f>
        <v>2351.6209506078</v>
      </c>
      <c r="O14" s="65" t="n">
        <f aca="false">IF(O$5="A",Inputs_Actuals!O14,N14*(1-Assumptions!$C$116*Assumptions!$F$169+Assumptions!$C$118*Assumptions!$F$171-Assumptions!$C$119*Assumptions!$F$169)*(1+Assumptions!O$198))</f>
        <v>2323.16633710545</v>
      </c>
      <c r="P14" s="65" t="n">
        <f aca="false">IF(P$5="A",Inputs_Actuals!P14,O14*(1-Assumptions!$C$116*Assumptions!$F$169+Assumptions!$C$118*Assumptions!$F$171-Assumptions!$C$119*Assumptions!$F$169)*(1+Assumptions!P$198))</f>
        <v>2295.05602442647</v>
      </c>
      <c r="Q14" s="65" t="n">
        <f aca="false">IF(Q$5="A",Inputs_Actuals!Q14,P14*(1-Assumptions!$C$116*Assumptions!$F$169+Assumptions!$C$118*Assumptions!$F$171-Assumptions!$C$119*Assumptions!$F$169)*(1+Assumptions!Q$198))</f>
        <v>2380.65013885746</v>
      </c>
      <c r="R14" s="65" t="n">
        <f aca="false">IF(R$5="A",Inputs_Actuals!R14,Q14*(1-Assumptions!$C$116*Assumptions!$F$169+Assumptions!$C$118*Assumptions!$F$171-Assumptions!$C$119*Assumptions!$F$169)*(1+Assumptions!R$198))</f>
        <v>2351.84427217728</v>
      </c>
      <c r="S14" s="65" t="n">
        <f aca="false">IF(S$5="A",Inputs_Actuals!S14,R14*(1-Assumptions!$C$116*Assumptions!$F$169+Assumptions!$C$118*Assumptions!$F$171-Assumptions!$C$119*Assumptions!$F$169)*(1+Assumptions!S$198))</f>
        <v>2323.38695648393</v>
      </c>
      <c r="T14" s="65" t="n">
        <f aca="false">IF(T$5="A",Inputs_Actuals!T14,S14*(1-Assumptions!$C$116*Assumptions!$F$169+Assumptions!$C$118*Assumptions!$F$171-Assumptions!$C$119*Assumptions!$F$169)*(1+Assumptions!T$198))</f>
        <v>2295.27397431048</v>
      </c>
      <c r="U14" s="65" t="n">
        <f aca="false">IF(U$5="A",Inputs_Actuals!U14,T14*(1-Assumptions!$C$116*Assumptions!$F$169+Assumptions!$C$118*Assumptions!$F$171-Assumptions!$C$119*Assumptions!$F$169)*(1+Assumptions!U$198))</f>
        <v>2267.50115922132</v>
      </c>
      <c r="V14" s="65" t="n">
        <f aca="false">IF(V$5="A",Inputs_Actuals!V14,U14*(1-Assumptions!$C$116*Assumptions!$F$169+Assumptions!$C$118*Assumptions!$F$171-Assumptions!$C$119*Assumptions!$F$169)*(1+Assumptions!V$198))</f>
        <v>2240.06439519474</v>
      </c>
      <c r="W14" s="65" t="n">
        <f aca="false">IF(W$5="A",Inputs_Actuals!W14,V14*(1-Assumptions!$C$116*Assumptions!$F$169+Assumptions!$C$118*Assumptions!$F$171-Assumptions!$C$119*Assumptions!$F$169)*(1+Assumptions!W$198))</f>
        <v>2212.95961601289</v>
      </c>
      <c r="X14" s="65" t="n">
        <f aca="false">IF(X$5="A",Inputs_Actuals!X14,W14*(1-Assumptions!$C$116*Assumptions!$F$169+Assumptions!$C$118*Assumptions!$F$171-Assumptions!$C$119*Assumptions!$F$169)*(1+Assumptions!X$198))</f>
        <v>2186.18280465913</v>
      </c>
      <c r="Y14" s="65" t="n">
        <f aca="false">IF(Y$5="A",Inputs_Actuals!Y14,X14*(1-Assumptions!$C$116*Assumptions!$F$169+Assumptions!$C$118*Assumptions!$F$171-Assumptions!$C$119*Assumptions!$F$169)*(1+Assumptions!Y$198))</f>
        <v>2159.72999272276</v>
      </c>
      <c r="Z14" s="65" t="n">
        <f aca="false">IF(Z$5="A",Inputs_Actuals!Z14,Y14*(1-Assumptions!$C$116*Assumptions!$F$169+Assumptions!$C$118*Assumptions!$F$171-Assumptions!$C$119*Assumptions!$F$169)*(1+Assumptions!Z$198))</f>
        <v>2133.59725981081</v>
      </c>
      <c r="AA14" s="65" t="n">
        <f aca="false">IF(AA$5="A",Inputs_Actuals!AA14,Z14*(1-Assumptions!$C$116*Assumptions!$F$169+Assumptions!$C$118*Assumptions!$F$171-Assumptions!$C$119*Assumptions!$F$169)*(1+Assumptions!AA$198))</f>
        <v>2107.7807329671</v>
      </c>
      <c r="AB14" s="65" t="n">
        <f aca="false">IF(AB$5="A",Inputs_Actuals!AB14,AA14*(1-Assumptions!$C$116*Assumptions!$F$169+Assumptions!$C$118*Assumptions!$F$171-Assumptions!$C$119*Assumptions!$F$169)*(1+Assumptions!AB$198))</f>
        <v>2082.2765860982</v>
      </c>
    </row>
    <row r="15" customFormat="false" ht="15" hidden="false" customHeight="false" outlineLevel="0" collapsed="false">
      <c r="A15" s="28" t="s">
        <v>878</v>
      </c>
      <c r="B15" s="63" t="s">
        <v>872</v>
      </c>
      <c r="C15" s="64" t="n">
        <f aca="false">P15</f>
        <v>1550.31864052593</v>
      </c>
      <c r="D15" s="64" t="n">
        <f aca="false">AB15</f>
        <v>1406.5853607933</v>
      </c>
      <c r="E15" s="65" t="n">
        <f aca="false">IF(E$5="A",Inputs_Actuals!E15,History!$E$54*(1-Assumptions!$C$116*Assumptions!$F$169+Assumptions!$C$118*Assumptions!$F$171-Assumptions!$C$119*Assumptions!$F$169)*(1+Assumptions!E$198))</f>
        <v>2018.25</v>
      </c>
      <c r="F15" s="65" t="n">
        <f aca="false">IF(F$5="A",Inputs_Actuals!F15,E15*(1-Assumptions!$C$116*Assumptions!$F$169+Assumptions!$C$118*Assumptions!$F$171-Assumptions!$C$119*Assumptions!$F$169)*(1+Assumptions!F$198))</f>
        <v>1821.22</v>
      </c>
      <c r="G15" s="65" t="n">
        <f aca="false">IF(G$5="A",Inputs_Actuals!G15,F15*(1-Assumptions!$C$116*Assumptions!$F$169+Assumptions!$C$118*Assumptions!$F$171-Assumptions!$C$119*Assumptions!$F$169)*(1+Assumptions!G$198))</f>
        <v>1835.2</v>
      </c>
      <c r="H15" s="65" t="n">
        <f aca="false">IF(H$5="A",Inputs_Actuals!H15,G15*(1-Assumptions!$C$116*Assumptions!$F$169+Assumptions!$C$118*Assumptions!$F$171-Assumptions!$C$119*Assumptions!$F$169)*(1+Assumptions!H$198))</f>
        <v>1847.06</v>
      </c>
      <c r="I15" s="65" t="n">
        <f aca="false">IF(I$5="A",Inputs_Actuals!I15,H15*(1-Assumptions!$C$116*Assumptions!$F$169+Assumptions!$C$118*Assumptions!$F$171-Assumptions!$C$119*Assumptions!$F$169)*(1+Assumptions!I$198))</f>
        <v>1599.72</v>
      </c>
      <c r="J15" s="65" t="n">
        <f aca="false">IF(J$5="A",Inputs_Actuals!J15,I15*(1-Assumptions!$C$116*Assumptions!$F$169+Assumptions!$C$118*Assumptions!$F$171-Assumptions!$C$119*Assumptions!$F$169)*(1+Assumptions!J$198))</f>
        <v>1611.54</v>
      </c>
      <c r="K15" s="65" t="n">
        <f aca="false">IF(K$5="A",Inputs_Actuals!K15,J15*(1-Assumptions!$C$116*Assumptions!$F$169+Assumptions!$C$118*Assumptions!$F$171-Assumptions!$C$119*Assumptions!$F$169)*(1+Assumptions!K$198))</f>
        <v>1621.93</v>
      </c>
      <c r="L15" s="65" t="n">
        <f aca="false">IF(L$5="A",Inputs_Actuals!L15,K15*(1-Assumptions!$C$116*Assumptions!$F$169+Assumptions!$C$118*Assumptions!$F$171-Assumptions!$C$119*Assumptions!$F$169)*(1+Assumptions!L$198))</f>
        <v>1627.68</v>
      </c>
      <c r="M15" s="65" t="n">
        <f aca="false">IF(M$5="A",Inputs_Actuals!M15,L15*(1-Assumptions!$C$116*Assumptions!$F$169+Assumptions!$C$118*Assumptions!$F$171-Assumptions!$C$119*Assumptions!$F$169)*(1+Assumptions!M$198))</f>
        <v>1607.985072</v>
      </c>
      <c r="N15" s="65" t="n">
        <f aca="false">IF(N$5="A",Inputs_Actuals!N15,M15*(1-Assumptions!$C$116*Assumptions!$F$169+Assumptions!$C$118*Assumptions!$F$171-Assumptions!$C$119*Assumptions!$F$169)*(1+Assumptions!N$198))</f>
        <v>1588.5284526288</v>
      </c>
      <c r="O15" s="65" t="n">
        <f aca="false">IF(O$5="A",Inputs_Actuals!O15,N15*(1-Assumptions!$C$116*Assumptions!$F$169+Assumptions!$C$118*Assumptions!$F$171-Assumptions!$C$119*Assumptions!$F$169)*(1+Assumptions!O$198))</f>
        <v>1569.30725835199</v>
      </c>
      <c r="P15" s="65" t="n">
        <f aca="false">IF(P$5="A",Inputs_Actuals!P15,O15*(1-Assumptions!$C$116*Assumptions!$F$169+Assumptions!$C$118*Assumptions!$F$171-Assumptions!$C$119*Assumptions!$F$169)*(1+Assumptions!P$198))</f>
        <v>1550.31864052593</v>
      </c>
      <c r="Q15" s="65" t="n">
        <f aca="false">IF(Q$5="A",Inputs_Actuals!Q15,P15*(1-Assumptions!$C$116*Assumptions!$F$169+Assumptions!$C$118*Assumptions!$F$171-Assumptions!$C$119*Assumptions!$F$169)*(1+Assumptions!Q$198))</f>
        <v>1608.13777422435</v>
      </c>
      <c r="R15" s="65" t="n">
        <f aca="false">IF(R$5="A",Inputs_Actuals!R15,Q15*(1-Assumptions!$C$116*Assumptions!$F$169+Assumptions!$C$118*Assumptions!$F$171-Assumptions!$C$119*Assumptions!$F$169)*(1+Assumptions!R$198))</f>
        <v>1588.67930715623</v>
      </c>
      <c r="S15" s="65" t="n">
        <f aca="false">IF(S$5="A",Inputs_Actuals!S15,R15*(1-Assumptions!$C$116*Assumptions!$F$169+Assumptions!$C$118*Assumptions!$F$171-Assumptions!$C$119*Assumptions!$F$169)*(1+Assumptions!S$198))</f>
        <v>1569.45628753964</v>
      </c>
      <c r="T15" s="65" t="n">
        <f aca="false">IF(T$5="A",Inputs_Actuals!T15,S15*(1-Assumptions!$C$116*Assumptions!$F$169+Assumptions!$C$118*Assumptions!$F$171-Assumptions!$C$119*Assumptions!$F$169)*(1+Assumptions!T$198))</f>
        <v>1550.46586646041</v>
      </c>
      <c r="U15" s="65" t="n">
        <f aca="false">IF(U$5="A",Inputs_Actuals!U15,T15*(1-Assumptions!$C$116*Assumptions!$F$169+Assumptions!$C$118*Assumptions!$F$171-Assumptions!$C$119*Assumptions!$F$169)*(1+Assumptions!U$198))</f>
        <v>1531.70522947624</v>
      </c>
      <c r="V15" s="65" t="n">
        <f aca="false">IF(V$5="A",Inputs_Actuals!V15,U15*(1-Assumptions!$C$116*Assumptions!$F$169+Assumptions!$C$118*Assumptions!$F$171-Assumptions!$C$119*Assumptions!$F$169)*(1+Assumptions!V$198))</f>
        <v>1513.17159619958</v>
      </c>
      <c r="W15" s="65" t="n">
        <f aca="false">IF(W$5="A",Inputs_Actuals!W15,V15*(1-Assumptions!$C$116*Assumptions!$F$169+Assumptions!$C$118*Assumptions!$F$171-Assumptions!$C$119*Assumptions!$F$169)*(1+Assumptions!W$198))</f>
        <v>1494.86221988556</v>
      </c>
      <c r="X15" s="65" t="n">
        <f aca="false">IF(X$5="A",Inputs_Actuals!X15,W15*(1-Assumptions!$C$116*Assumptions!$F$169+Assumptions!$C$118*Assumptions!$F$171-Assumptions!$C$119*Assumptions!$F$169)*(1+Assumptions!X$198))</f>
        <v>1476.77438702495</v>
      </c>
      <c r="Y15" s="65" t="n">
        <f aca="false">IF(Y$5="A",Inputs_Actuals!Y15,X15*(1-Assumptions!$C$116*Assumptions!$F$169+Assumptions!$C$118*Assumptions!$F$171-Assumptions!$C$119*Assumptions!$F$169)*(1+Assumptions!Y$198))</f>
        <v>1458.90541694195</v>
      </c>
      <c r="Z15" s="65" t="n">
        <f aca="false">IF(Z$5="A",Inputs_Actuals!Z15,Y15*(1-Assumptions!$C$116*Assumptions!$F$169+Assumptions!$C$118*Assumptions!$F$171-Assumptions!$C$119*Assumptions!$F$169)*(1+Assumptions!Z$198))</f>
        <v>1441.25266139695</v>
      </c>
      <c r="AA15" s="65" t="n">
        <f aca="false">IF(AA$5="A",Inputs_Actuals!AA15,Z15*(1-Assumptions!$C$116*Assumptions!$F$169+Assumptions!$C$118*Assumptions!$F$171-Assumptions!$C$119*Assumptions!$F$169)*(1+Assumptions!AA$198))</f>
        <v>1423.81350419405</v>
      </c>
      <c r="AB15" s="65" t="n">
        <f aca="false">IF(AB$5="A",Inputs_Actuals!AB15,AA15*(1-Assumptions!$C$116*Assumptions!$F$169+Assumptions!$C$118*Assumptions!$F$171-Assumptions!$C$119*Assumptions!$F$169)*(1+Assumptions!AB$198))</f>
        <v>1406.5853607933</v>
      </c>
    </row>
    <row r="16" customFormat="false" ht="15" hidden="false" customHeight="false" outlineLevel="0" collapsed="false">
      <c r="A16" s="28" t="s">
        <v>879</v>
      </c>
      <c r="B16" s="63" t="s">
        <v>872</v>
      </c>
      <c r="C16" s="64" t="n">
        <f aca="false">P16</f>
        <v>3947.93678478666</v>
      </c>
      <c r="D16" s="64" t="n">
        <f aca="false">AB16</f>
        <v>3581.91531834671</v>
      </c>
      <c r="E16" s="65" t="n">
        <f aca="false">IF(E$5="A",Inputs_Actuals!E16,History!$E$55*(1-Assumptions!$C$116*Assumptions!$F$169+Assumptions!$C$118*Assumptions!$F$171-Assumptions!$C$119*Assumptions!$F$169)*(1+Assumptions!E$198))</f>
        <v>3960.96</v>
      </c>
      <c r="F16" s="65" t="n">
        <f aca="false">IF(F$5="A",Inputs_Actuals!F16,E16*(1-Assumptions!$C$116*Assumptions!$F$169+Assumptions!$C$118*Assumptions!$F$171-Assumptions!$C$119*Assumptions!$F$169)*(1+Assumptions!F$198))</f>
        <v>4008.81</v>
      </c>
      <c r="G16" s="65" t="n">
        <f aca="false">IF(G$5="A",Inputs_Actuals!G16,F16*(1-Assumptions!$C$116*Assumptions!$F$169+Assumptions!$C$118*Assumptions!$F$171-Assumptions!$C$119*Assumptions!$F$169)*(1+Assumptions!G$198))</f>
        <v>4028.58</v>
      </c>
      <c r="H16" s="65" t="n">
        <f aca="false">IF(H$5="A",Inputs_Actuals!H16,G16*(1-Assumptions!$C$116*Assumptions!$F$169+Assumptions!$C$118*Assumptions!$F$171-Assumptions!$C$119*Assumptions!$F$169)*(1+Assumptions!H$198))</f>
        <v>4054.41</v>
      </c>
      <c r="I16" s="65" t="n">
        <f aca="false">IF(I$5="A",Inputs_Actuals!I16,H16*(1-Assumptions!$C$116*Assumptions!$F$169+Assumptions!$C$118*Assumptions!$F$171-Assumptions!$C$119*Assumptions!$F$169)*(1+Assumptions!I$198))</f>
        <v>4080</v>
      </c>
      <c r="J16" s="65" t="n">
        <f aca="false">IF(J$5="A",Inputs_Actuals!J16,I16*(1-Assumptions!$C$116*Assumptions!$F$169+Assumptions!$C$118*Assumptions!$F$171-Assumptions!$C$119*Assumptions!$F$169)*(1+Assumptions!J$198))</f>
        <v>4104.59</v>
      </c>
      <c r="K16" s="65" t="n">
        <f aca="false">IF(K$5="A",Inputs_Actuals!K16,J16*(1-Assumptions!$C$116*Assumptions!$F$169+Assumptions!$C$118*Assumptions!$F$171-Assumptions!$C$119*Assumptions!$F$169)*(1+Assumptions!K$198))</f>
        <v>4111.5</v>
      </c>
      <c r="L16" s="65" t="n">
        <f aca="false">IF(L$5="A",Inputs_Actuals!L16,K16*(1-Assumptions!$C$116*Assumptions!$F$169+Assumptions!$C$118*Assumptions!$F$171-Assumptions!$C$119*Assumptions!$F$169)*(1+Assumptions!L$198))</f>
        <v>4144.94</v>
      </c>
      <c r="M16" s="65" t="n">
        <f aca="false">IF(M$5="A",Inputs_Actuals!M16,L16*(1-Assumptions!$C$116*Assumptions!$F$169+Assumptions!$C$118*Assumptions!$F$171-Assumptions!$C$119*Assumptions!$F$169)*(1+Assumptions!M$198))</f>
        <v>4094.786226</v>
      </c>
      <c r="N16" s="65" t="n">
        <f aca="false">IF(N$5="A",Inputs_Actuals!N16,M16*(1-Assumptions!$C$116*Assumptions!$F$169+Assumptions!$C$118*Assumptions!$F$171-Assumptions!$C$119*Assumptions!$F$169)*(1+Assumptions!N$198))</f>
        <v>4045.2393126654</v>
      </c>
      <c r="O16" s="65" t="n">
        <f aca="false">IF(O$5="A",Inputs_Actuals!O16,N16*(1-Assumptions!$C$116*Assumptions!$F$169+Assumptions!$C$118*Assumptions!$F$171-Assumptions!$C$119*Assumptions!$F$169)*(1+Assumptions!O$198))</f>
        <v>3996.29191698215</v>
      </c>
      <c r="P16" s="65" t="n">
        <f aca="false">IF(P$5="A",Inputs_Actuals!P16,O16*(1-Assumptions!$C$116*Assumptions!$F$169+Assumptions!$C$118*Assumptions!$F$171-Assumptions!$C$119*Assumptions!$F$169)*(1+Assumptions!P$198))</f>
        <v>3947.93678478666</v>
      </c>
      <c r="Q16" s="65" t="n">
        <f aca="false">IF(Q$5="A",Inputs_Actuals!Q16,P16*(1-Assumptions!$C$116*Assumptions!$F$169+Assumptions!$C$118*Assumptions!$F$171-Assumptions!$C$119*Assumptions!$F$169)*(1+Assumptions!Q$198))</f>
        <v>4095.17508717528</v>
      </c>
      <c r="R16" s="65" t="n">
        <f aca="false">IF(R$5="A",Inputs_Actuals!R16,Q16*(1-Assumptions!$C$116*Assumptions!$F$169+Assumptions!$C$118*Assumptions!$F$171-Assumptions!$C$119*Assumptions!$F$169)*(1+Assumptions!R$198))</f>
        <v>4045.62346862046</v>
      </c>
      <c r="S16" s="65" t="n">
        <f aca="false">IF(S$5="A",Inputs_Actuals!S16,R16*(1-Assumptions!$C$116*Assumptions!$F$169+Assumptions!$C$118*Assumptions!$F$171-Assumptions!$C$119*Assumptions!$F$169)*(1+Assumptions!S$198))</f>
        <v>3996.67142465016</v>
      </c>
      <c r="T16" s="65" t="n">
        <f aca="false">IF(T$5="A",Inputs_Actuals!T16,S16*(1-Assumptions!$C$116*Assumptions!$F$169+Assumptions!$C$118*Assumptions!$F$171-Assumptions!$C$119*Assumptions!$F$169)*(1+Assumptions!T$198))</f>
        <v>3948.31170041189</v>
      </c>
      <c r="U16" s="65" t="n">
        <f aca="false">IF(U$5="A",Inputs_Actuals!U16,T16*(1-Assumptions!$C$116*Assumptions!$F$169+Assumptions!$C$118*Assumptions!$F$171-Assumptions!$C$119*Assumptions!$F$169)*(1+Assumptions!U$198))</f>
        <v>3900.5371288369</v>
      </c>
      <c r="V16" s="65" t="n">
        <f aca="false">IF(V$5="A",Inputs_Actuals!V16,U16*(1-Assumptions!$C$116*Assumptions!$F$169+Assumptions!$C$118*Assumptions!$F$171-Assumptions!$C$119*Assumptions!$F$169)*(1+Assumptions!V$198))</f>
        <v>3853.34062957798</v>
      </c>
      <c r="W16" s="65" t="n">
        <f aca="false">IF(W$5="A",Inputs_Actuals!W16,V16*(1-Assumptions!$C$116*Assumptions!$F$169+Assumptions!$C$118*Assumptions!$F$171-Assumptions!$C$119*Assumptions!$F$169)*(1+Assumptions!W$198))</f>
        <v>3806.71520796008</v>
      </c>
      <c r="X16" s="65" t="n">
        <f aca="false">IF(X$5="A",Inputs_Actuals!X16,W16*(1-Assumptions!$C$116*Assumptions!$F$169+Assumptions!$C$118*Assumptions!$F$171-Assumptions!$C$119*Assumptions!$F$169)*(1+Assumptions!X$198))</f>
        <v>3760.65395394377</v>
      </c>
      <c r="Y16" s="65" t="n">
        <f aca="false">IF(Y$5="A",Inputs_Actuals!Y16,X16*(1-Assumptions!$C$116*Assumptions!$F$169+Assumptions!$C$118*Assumptions!$F$171-Assumptions!$C$119*Assumptions!$F$169)*(1+Assumptions!Y$198))</f>
        <v>3715.15004110105</v>
      </c>
      <c r="Z16" s="65" t="n">
        <f aca="false">IF(Z$5="A",Inputs_Actuals!Z16,Y16*(1-Assumptions!$C$116*Assumptions!$F$169+Assumptions!$C$118*Assumptions!$F$171-Assumptions!$C$119*Assumptions!$F$169)*(1+Assumptions!Z$198))</f>
        <v>3670.19672560372</v>
      </c>
      <c r="AA16" s="65" t="n">
        <f aca="false">IF(AA$5="A",Inputs_Actuals!AA16,Z16*(1-Assumptions!$C$116*Assumptions!$F$169+Assumptions!$C$118*Assumptions!$F$171-Assumptions!$C$119*Assumptions!$F$169)*(1+Assumptions!AA$198))</f>
        <v>3625.78734522392</v>
      </c>
      <c r="AB16" s="65" t="n">
        <f aca="false">IF(AB$5="A",Inputs_Actuals!AB16,AA16*(1-Assumptions!$C$116*Assumptions!$F$169+Assumptions!$C$118*Assumptions!$F$171-Assumptions!$C$119*Assumptions!$F$169)*(1+Assumptions!AB$198))</f>
        <v>3581.91531834671</v>
      </c>
    </row>
    <row r="17" customFormat="false" ht="15" hidden="false" customHeight="false" outlineLevel="0" collapsed="false">
      <c r="A17" s="28" t="s">
        <v>880</v>
      </c>
      <c r="B17" s="63" t="s">
        <v>872</v>
      </c>
      <c r="C17" s="64" t="n">
        <f aca="false">P17</f>
        <v>1901.74248649593</v>
      </c>
      <c r="D17" s="64" t="n">
        <f aca="false">AB17</f>
        <v>1725.42796788947</v>
      </c>
      <c r="E17" s="65" t="n">
        <f aca="false">IF(E$5="A",Inputs_Actuals!E17,History!$E$56*(1-Assumptions!$C$116*Assumptions!$F$169+Assumptions!$C$118*Assumptions!$F$171-Assumptions!$C$119*Assumptions!$F$169)*(1+Assumptions!E$198))</f>
        <v>2326.87</v>
      </c>
      <c r="F17" s="65" t="n">
        <f aca="false">IF(F$5="A",Inputs_Actuals!F17,E17*(1-Assumptions!$C$116*Assumptions!$F$169+Assumptions!$C$118*Assumptions!$F$171-Assumptions!$C$119*Assumptions!$F$169)*(1+Assumptions!F$198))</f>
        <v>2339.22</v>
      </c>
      <c r="G17" s="65" t="n">
        <f aca="false">IF(G$5="A",Inputs_Actuals!G17,F17*(1-Assumptions!$C$116*Assumptions!$F$169+Assumptions!$C$118*Assumptions!$F$171-Assumptions!$C$119*Assumptions!$F$169)*(1+Assumptions!G$198))</f>
        <v>2145.02</v>
      </c>
      <c r="H17" s="65" t="n">
        <f aca="false">IF(H$5="A",Inputs_Actuals!H17,G17*(1-Assumptions!$C$116*Assumptions!$F$169+Assumptions!$C$118*Assumptions!$F$171-Assumptions!$C$119*Assumptions!$F$169)*(1+Assumptions!H$198))</f>
        <v>2157.81</v>
      </c>
      <c r="I17" s="65" t="n">
        <f aca="false">IF(I$5="A",Inputs_Actuals!I17,H17*(1-Assumptions!$C$116*Assumptions!$F$169+Assumptions!$C$118*Assumptions!$F$171-Assumptions!$C$119*Assumptions!$F$169)*(1+Assumptions!I$198))</f>
        <v>1955.5</v>
      </c>
      <c r="J17" s="65" t="n">
        <f aca="false">IF(J$5="A",Inputs_Actuals!J17,I17*(1-Assumptions!$C$116*Assumptions!$F$169+Assumptions!$C$118*Assumptions!$F$171-Assumptions!$C$119*Assumptions!$F$169)*(1+Assumptions!J$198))</f>
        <v>1971.03</v>
      </c>
      <c r="K17" s="65" t="n">
        <f aca="false">IF(K$5="A",Inputs_Actuals!K17,J17*(1-Assumptions!$C$116*Assumptions!$F$169+Assumptions!$C$118*Assumptions!$F$171-Assumptions!$C$119*Assumptions!$F$169)*(1+Assumptions!K$198))</f>
        <v>1982.93</v>
      </c>
      <c r="L17" s="65" t="n">
        <f aca="false">IF(L$5="A",Inputs_Actuals!L17,K17*(1-Assumptions!$C$116*Assumptions!$F$169+Assumptions!$C$118*Assumptions!$F$171-Assumptions!$C$119*Assumptions!$F$169)*(1+Assumptions!L$198))</f>
        <v>1996.64</v>
      </c>
      <c r="M17" s="65" t="n">
        <f aca="false">IF(M$5="A",Inputs_Actuals!M17,L17*(1-Assumptions!$C$116*Assumptions!$F$169+Assumptions!$C$118*Assumptions!$F$171-Assumptions!$C$119*Assumptions!$F$169)*(1+Assumptions!M$198))</f>
        <v>1972.480656</v>
      </c>
      <c r="N17" s="65" t="n">
        <f aca="false">IF(N$5="A",Inputs_Actuals!N17,M17*(1-Assumptions!$C$116*Assumptions!$F$169+Assumptions!$C$118*Assumptions!$F$171-Assumptions!$C$119*Assumptions!$F$169)*(1+Assumptions!N$198))</f>
        <v>1948.6136400624</v>
      </c>
      <c r="O17" s="65" t="n">
        <f aca="false">IF(O$5="A",Inputs_Actuals!O17,N17*(1-Assumptions!$C$116*Assumptions!$F$169+Assumptions!$C$118*Assumptions!$F$171-Assumptions!$C$119*Assumptions!$F$169)*(1+Assumptions!O$198))</f>
        <v>1925.03541501765</v>
      </c>
      <c r="P17" s="65" t="n">
        <f aca="false">IF(P$5="A",Inputs_Actuals!P17,O17*(1-Assumptions!$C$116*Assumptions!$F$169+Assumptions!$C$118*Assumptions!$F$171-Assumptions!$C$119*Assumptions!$F$169)*(1+Assumptions!P$198))</f>
        <v>1901.74248649593</v>
      </c>
      <c r="Q17" s="65" t="n">
        <f aca="false">IF(Q$5="A",Inputs_Actuals!Q17,P17*(1-Assumptions!$C$116*Assumptions!$F$169+Assumptions!$C$118*Assumptions!$F$171-Assumptions!$C$119*Assumptions!$F$169)*(1+Assumptions!Q$198))</f>
        <v>1972.6679725298</v>
      </c>
      <c r="R17" s="65" t="n">
        <f aca="false">IF(R$5="A",Inputs_Actuals!R17,Q17*(1-Assumptions!$C$116*Assumptions!$F$169+Assumptions!$C$118*Assumptions!$F$171-Assumptions!$C$119*Assumptions!$F$169)*(1+Assumptions!R$198))</f>
        <v>1948.79869006219</v>
      </c>
      <c r="S17" s="65" t="n">
        <f aca="false">IF(S$5="A",Inputs_Actuals!S17,R17*(1-Assumptions!$C$116*Assumptions!$F$169+Assumptions!$C$118*Assumptions!$F$171-Assumptions!$C$119*Assumptions!$F$169)*(1+Assumptions!S$198))</f>
        <v>1925.21822591243</v>
      </c>
      <c r="T17" s="65" t="n">
        <f aca="false">IF(T$5="A",Inputs_Actuals!T17,S17*(1-Assumptions!$C$116*Assumptions!$F$169+Assumptions!$C$118*Assumptions!$F$171-Assumptions!$C$119*Assumptions!$F$169)*(1+Assumptions!T$198))</f>
        <v>1901.92308537889</v>
      </c>
      <c r="U17" s="65" t="n">
        <f aca="false">IF(U$5="A",Inputs_Actuals!U17,T17*(1-Assumptions!$C$116*Assumptions!$F$169+Assumptions!$C$118*Assumptions!$F$171-Assumptions!$C$119*Assumptions!$F$169)*(1+Assumptions!U$198))</f>
        <v>1878.90981604581</v>
      </c>
      <c r="V17" s="65" t="n">
        <f aca="false">IF(V$5="A",Inputs_Actuals!V17,U17*(1-Assumptions!$C$116*Assumptions!$F$169+Assumptions!$C$118*Assumptions!$F$171-Assumptions!$C$119*Assumptions!$F$169)*(1+Assumptions!V$198))</f>
        <v>1856.17500727166</v>
      </c>
      <c r="W17" s="65" t="n">
        <f aca="false">IF(W$5="A",Inputs_Actuals!W17,V17*(1-Assumptions!$C$116*Assumptions!$F$169+Assumptions!$C$118*Assumptions!$F$171-Assumptions!$C$119*Assumptions!$F$169)*(1+Assumptions!W$198))</f>
        <v>1833.71528968367</v>
      </c>
      <c r="X17" s="65" t="n">
        <f aca="false">IF(X$5="A",Inputs_Actuals!X17,W17*(1-Assumptions!$C$116*Assumptions!$F$169+Assumptions!$C$118*Assumptions!$F$171-Assumptions!$C$119*Assumptions!$F$169)*(1+Assumptions!X$198))</f>
        <v>1811.5273346785</v>
      </c>
      <c r="Y17" s="65" t="n">
        <f aca="false">IF(Y$5="A",Inputs_Actuals!Y17,X17*(1-Assumptions!$C$116*Assumptions!$F$169+Assumptions!$C$118*Assumptions!$F$171-Assumptions!$C$119*Assumptions!$F$169)*(1+Assumptions!Y$198))</f>
        <v>1789.60785392889</v>
      </c>
      <c r="Z17" s="65" t="n">
        <f aca="false">IF(Z$5="A",Inputs_Actuals!Z17,Y17*(1-Assumptions!$C$116*Assumptions!$F$169+Assumptions!$C$118*Assumptions!$F$171-Assumptions!$C$119*Assumptions!$F$169)*(1+Assumptions!Z$198))</f>
        <v>1767.95359889635</v>
      </c>
      <c r="AA17" s="65" t="n">
        <f aca="false">IF(AA$5="A",Inputs_Actuals!AA17,Z17*(1-Assumptions!$C$116*Assumptions!$F$169+Assumptions!$C$118*Assumptions!$F$171-Assumptions!$C$119*Assumptions!$F$169)*(1+Assumptions!AA$198))</f>
        <v>1746.5613603497</v>
      </c>
      <c r="AB17" s="65" t="n">
        <f aca="false">IF(AB$5="A",Inputs_Actuals!AB17,AA17*(1-Assumptions!$C$116*Assumptions!$F$169+Assumptions!$C$118*Assumptions!$F$171-Assumptions!$C$119*Assumptions!$F$169)*(1+Assumptions!AB$198))</f>
        <v>1725.42796788947</v>
      </c>
    </row>
    <row r="18" customFormat="false" ht="15" hidden="false" customHeight="false" outlineLevel="0" collapsed="false">
      <c r="A18" s="28" t="s">
        <v>881</v>
      </c>
      <c r="B18" s="63" t="s">
        <v>872</v>
      </c>
      <c r="C18" s="64" t="n">
        <f aca="false">P18</f>
        <v>3155.84252311719</v>
      </c>
      <c r="D18" s="64" t="n">
        <f aca="false">AB18</f>
        <v>2863.25777033794</v>
      </c>
      <c r="E18" s="65" t="n">
        <f aca="false">IF(E$5="A",Inputs_Actuals!E18,History!$E$57*(1-Assumptions!$C$116*Assumptions!$F$169+Assumptions!$C$118*Assumptions!$F$171-Assumptions!$C$119*Assumptions!$F$169)*(1+Assumptions!E$198))</f>
        <v>4014.81</v>
      </c>
      <c r="F18" s="65" t="n">
        <f aca="false">IF(F$5="A",Inputs_Actuals!F18,E18*(1-Assumptions!$C$116*Assumptions!$F$169+Assumptions!$C$118*Assumptions!$F$171-Assumptions!$C$119*Assumptions!$F$169)*(1+Assumptions!F$198))</f>
        <v>4035.79</v>
      </c>
      <c r="G18" s="65" t="n">
        <f aca="false">IF(G$5="A",Inputs_Actuals!G18,F18*(1-Assumptions!$C$116*Assumptions!$F$169+Assumptions!$C$118*Assumptions!$F$171-Assumptions!$C$119*Assumptions!$F$169)*(1+Assumptions!G$198))</f>
        <v>3861.67</v>
      </c>
      <c r="H18" s="65" t="n">
        <f aca="false">IF(H$5="A",Inputs_Actuals!H18,G18*(1-Assumptions!$C$116*Assumptions!$F$169+Assumptions!$C$118*Assumptions!$F$171-Assumptions!$C$119*Assumptions!$F$169)*(1+Assumptions!H$198))</f>
        <v>3876.66</v>
      </c>
      <c r="I18" s="65" t="n">
        <f aca="false">IF(I$5="A",Inputs_Actuals!I18,H18*(1-Assumptions!$C$116*Assumptions!$F$169+Assumptions!$C$118*Assumptions!$F$171-Assumptions!$C$119*Assumptions!$F$169)*(1+Assumptions!I$198))</f>
        <v>3907.66</v>
      </c>
      <c r="J18" s="65" t="n">
        <f aca="false">IF(J$5="A",Inputs_Actuals!J18,I18*(1-Assumptions!$C$116*Assumptions!$F$169+Assumptions!$C$118*Assumptions!$F$171-Assumptions!$C$119*Assumptions!$F$169)*(1+Assumptions!J$198))</f>
        <v>3486.02</v>
      </c>
      <c r="K18" s="65" t="n">
        <f aca="false">IF(K$5="A",Inputs_Actuals!K18,J18*(1-Assumptions!$C$116*Assumptions!$F$169+Assumptions!$C$118*Assumptions!$F$171-Assumptions!$C$119*Assumptions!$F$169)*(1+Assumptions!K$198))</f>
        <v>3489.79</v>
      </c>
      <c r="L18" s="65" t="n">
        <f aca="false">IF(L$5="A",Inputs_Actuals!L18,K18*(1-Assumptions!$C$116*Assumptions!$F$169+Assumptions!$C$118*Assumptions!$F$171-Assumptions!$C$119*Assumptions!$F$169)*(1+Assumptions!L$198))</f>
        <v>3313.32</v>
      </c>
      <c r="M18" s="65" t="n">
        <f aca="false">IF(M$5="A",Inputs_Actuals!M18,L18*(1-Assumptions!$C$116*Assumptions!$F$169+Assumptions!$C$118*Assumptions!$F$171-Assumptions!$C$119*Assumptions!$F$169)*(1+Assumptions!M$198))</f>
        <v>3273.228828</v>
      </c>
      <c r="N18" s="65" t="n">
        <f aca="false">IF(N$5="A",Inputs_Actuals!N18,M18*(1-Assumptions!$C$116*Assumptions!$F$169+Assumptions!$C$118*Assumptions!$F$171-Assumptions!$C$119*Assumptions!$F$169)*(1+Assumptions!N$198))</f>
        <v>3233.6227591812</v>
      </c>
      <c r="O18" s="65" t="n">
        <f aca="false">IF(O$5="A",Inputs_Actuals!O18,N18*(1-Assumptions!$C$116*Assumptions!$F$169+Assumptions!$C$118*Assumptions!$F$171-Assumptions!$C$119*Assumptions!$F$169)*(1+Assumptions!O$198))</f>
        <v>3194.49592379511</v>
      </c>
      <c r="P18" s="65" t="n">
        <f aca="false">IF(P$5="A",Inputs_Actuals!P18,O18*(1-Assumptions!$C$116*Assumptions!$F$169+Assumptions!$C$118*Assumptions!$F$171-Assumptions!$C$119*Assumptions!$F$169)*(1+Assumptions!P$198))</f>
        <v>3155.84252311719</v>
      </c>
      <c r="Q18" s="65" t="n">
        <f aca="false">IF(Q$5="A",Inputs_Actuals!Q18,P18*(1-Assumptions!$C$116*Assumptions!$F$169+Assumptions!$C$118*Assumptions!$F$171-Assumptions!$C$119*Assumptions!$F$169)*(1+Assumptions!Q$198))</f>
        <v>3273.53967001684</v>
      </c>
      <c r="R18" s="65" t="n">
        <f aca="false">IF(R$5="A",Inputs_Actuals!R18,Q18*(1-Assumptions!$C$116*Assumptions!$F$169+Assumptions!$C$118*Assumptions!$F$171-Assumptions!$C$119*Assumptions!$F$169)*(1+Assumptions!R$198))</f>
        <v>3233.92984000964</v>
      </c>
      <c r="S18" s="65" t="n">
        <f aca="false">IF(S$5="A",Inputs_Actuals!S18,R18*(1-Assumptions!$C$116*Assumptions!$F$169+Assumptions!$C$118*Assumptions!$F$171-Assumptions!$C$119*Assumptions!$F$169)*(1+Assumptions!S$198))</f>
        <v>3194.79928894552</v>
      </c>
      <c r="T18" s="65" t="n">
        <f aca="false">IF(T$5="A",Inputs_Actuals!T18,S18*(1-Assumptions!$C$116*Assumptions!$F$169+Assumptions!$C$118*Assumptions!$F$171-Assumptions!$C$119*Assumptions!$F$169)*(1+Assumptions!T$198))</f>
        <v>3156.14221754928</v>
      </c>
      <c r="U18" s="65" t="n">
        <f aca="false">IF(U$5="A",Inputs_Actuals!U18,T18*(1-Assumptions!$C$116*Assumptions!$F$169+Assumptions!$C$118*Assumptions!$F$171-Assumptions!$C$119*Assumptions!$F$169)*(1+Assumptions!U$198))</f>
        <v>3117.95289671693</v>
      </c>
      <c r="V18" s="65" t="n">
        <f aca="false">IF(V$5="A",Inputs_Actuals!V18,U18*(1-Assumptions!$C$116*Assumptions!$F$169+Assumptions!$C$118*Assumptions!$F$171-Assumptions!$C$119*Assumptions!$F$169)*(1+Assumptions!V$198))</f>
        <v>3080.22566666666</v>
      </c>
      <c r="W18" s="65" t="n">
        <f aca="false">IF(W$5="A",Inputs_Actuals!W18,V18*(1-Assumptions!$C$116*Assumptions!$F$169+Assumptions!$C$118*Assumptions!$F$171-Assumptions!$C$119*Assumptions!$F$169)*(1+Assumptions!W$198))</f>
        <v>3042.95493609999</v>
      </c>
      <c r="X18" s="65" t="n">
        <f aca="false">IF(X$5="A",Inputs_Actuals!X18,W18*(1-Assumptions!$C$116*Assumptions!$F$169+Assumptions!$C$118*Assumptions!$F$171-Assumptions!$C$119*Assumptions!$F$169)*(1+Assumptions!X$198))</f>
        <v>3006.13518137318</v>
      </c>
      <c r="Y18" s="65" t="n">
        <f aca="false">IF(Y$5="A",Inputs_Actuals!Y18,X18*(1-Assumptions!$C$116*Assumptions!$F$169+Assumptions!$C$118*Assumptions!$F$171-Assumptions!$C$119*Assumptions!$F$169)*(1+Assumptions!Y$198))</f>
        <v>2969.76094567857</v>
      </c>
      <c r="Z18" s="65" t="n">
        <f aca="false">IF(Z$5="A",Inputs_Actuals!Z18,Y18*(1-Assumptions!$C$116*Assumptions!$F$169+Assumptions!$C$118*Assumptions!$F$171-Assumptions!$C$119*Assumptions!$F$169)*(1+Assumptions!Z$198))</f>
        <v>2933.82683823586</v>
      </c>
      <c r="AA18" s="65" t="n">
        <f aca="false">IF(AA$5="A",Inputs_Actuals!AA18,Z18*(1-Assumptions!$C$116*Assumptions!$F$169+Assumptions!$C$118*Assumptions!$F$171-Assumptions!$C$119*Assumptions!$F$169)*(1+Assumptions!AA$198))</f>
        <v>2898.3275334932</v>
      </c>
      <c r="AB18" s="65" t="n">
        <f aca="false">IF(AB$5="A",Inputs_Actuals!AB18,AA18*(1-Assumptions!$C$116*Assumptions!$F$169+Assumptions!$C$118*Assumptions!$F$171-Assumptions!$C$119*Assumptions!$F$169)*(1+Assumptions!AB$198))</f>
        <v>2863.25777033794</v>
      </c>
    </row>
    <row r="19" customFormat="false" ht="15" hidden="false" customHeight="false" outlineLevel="0" collapsed="false">
      <c r="A19" s="28" t="s">
        <v>882</v>
      </c>
      <c r="B19" s="63" t="s">
        <v>872</v>
      </c>
      <c r="C19" s="64" t="n">
        <f aca="false">P19</f>
        <v>3358.26174402337</v>
      </c>
      <c r="D19" s="64" t="n">
        <f aca="false">AB19</f>
        <v>3046.91028242618</v>
      </c>
      <c r="E19" s="65" t="n">
        <f aca="false">IF(E$5="A",Inputs_Actuals!E19,History!$E$58*(1-Assumptions!$C$116*Assumptions!$F$169+Assumptions!$C$118*Assumptions!$F$171-Assumptions!$C$119*Assumptions!$F$169)*(1+Assumptions!E$198))</f>
        <v>4181.8</v>
      </c>
      <c r="F19" s="65" t="n">
        <f aca="false">IF(F$5="A",Inputs_Actuals!F19,E19*(1-Assumptions!$C$116*Assumptions!$F$169+Assumptions!$C$118*Assumptions!$F$171-Assumptions!$C$119*Assumptions!$F$169)*(1+Assumptions!F$198))</f>
        <v>4016.6</v>
      </c>
      <c r="G19" s="65" t="n">
        <f aca="false">IF(G$5="A",Inputs_Actuals!G19,F19*(1-Assumptions!$C$116*Assumptions!$F$169+Assumptions!$C$118*Assumptions!$F$171-Assumptions!$C$119*Assumptions!$F$169)*(1+Assumptions!G$198))</f>
        <v>3836.5</v>
      </c>
      <c r="H19" s="65" t="n">
        <f aca="false">IF(H$5="A",Inputs_Actuals!H19,G19*(1-Assumptions!$C$116*Assumptions!$F$169+Assumptions!$C$118*Assumptions!$F$171-Assumptions!$C$119*Assumptions!$F$169)*(1+Assumptions!H$198))</f>
        <v>3862.4</v>
      </c>
      <c r="I19" s="65" t="n">
        <f aca="false">IF(I$5="A",Inputs_Actuals!I19,H19*(1-Assumptions!$C$116*Assumptions!$F$169+Assumptions!$C$118*Assumptions!$F$171-Assumptions!$C$119*Assumptions!$F$169)*(1+Assumptions!I$198))</f>
        <v>3677.87</v>
      </c>
      <c r="J19" s="65" t="n">
        <f aca="false">IF(J$5="A",Inputs_Actuals!J19,I19*(1-Assumptions!$C$116*Assumptions!$F$169+Assumptions!$C$118*Assumptions!$F$171-Assumptions!$C$119*Assumptions!$F$169)*(1+Assumptions!J$198))</f>
        <v>3692.06</v>
      </c>
      <c r="K19" s="65" t="n">
        <f aca="false">IF(K$5="A",Inputs_Actuals!K19,J19*(1-Assumptions!$C$116*Assumptions!$F$169+Assumptions!$C$118*Assumptions!$F$171-Assumptions!$C$119*Assumptions!$F$169)*(1+Assumptions!K$198))</f>
        <v>3710.19</v>
      </c>
      <c r="L19" s="65" t="n">
        <f aca="false">IF(L$5="A",Inputs_Actuals!L19,K19*(1-Assumptions!$C$116*Assumptions!$F$169+Assumptions!$C$118*Assumptions!$F$171-Assumptions!$C$119*Assumptions!$F$169)*(1+Assumptions!L$198))</f>
        <v>3525.84</v>
      </c>
      <c r="M19" s="65" t="n">
        <f aca="false">IF(M$5="A",Inputs_Actuals!M19,L19*(1-Assumptions!$C$116*Assumptions!$F$169+Assumptions!$C$118*Assumptions!$F$171-Assumptions!$C$119*Assumptions!$F$169)*(1+Assumptions!M$198))</f>
        <v>3483.177336</v>
      </c>
      <c r="N19" s="65" t="n">
        <f aca="false">IF(N$5="A",Inputs_Actuals!N19,M19*(1-Assumptions!$C$116*Assumptions!$F$169+Assumptions!$C$118*Assumptions!$F$171-Assumptions!$C$119*Assumptions!$F$169)*(1+Assumptions!N$198))</f>
        <v>3441.0308902344</v>
      </c>
      <c r="O19" s="65" t="n">
        <f aca="false">IF(O$5="A",Inputs_Actuals!O19,N19*(1-Assumptions!$C$116*Assumptions!$F$169+Assumptions!$C$118*Assumptions!$F$171-Assumptions!$C$119*Assumptions!$F$169)*(1+Assumptions!O$198))</f>
        <v>3399.39441646256</v>
      </c>
      <c r="P19" s="65" t="n">
        <f aca="false">IF(P$5="A",Inputs_Actuals!P19,O19*(1-Assumptions!$C$116*Assumptions!$F$169+Assumptions!$C$118*Assumptions!$F$171-Assumptions!$C$119*Assumptions!$F$169)*(1+Assumptions!P$198))</f>
        <v>3358.26174402337</v>
      </c>
      <c r="Q19" s="65" t="n">
        <f aca="false">IF(Q$5="A",Inputs_Actuals!Q19,P19*(1-Assumptions!$C$116*Assumptions!$F$169+Assumptions!$C$118*Assumptions!$F$171-Assumptions!$C$119*Assumptions!$F$169)*(1+Assumptions!Q$198))</f>
        <v>3483.50811576672</v>
      </c>
      <c r="R19" s="65" t="n">
        <f aca="false">IF(R$5="A",Inputs_Actuals!R19,Q19*(1-Assumptions!$C$116*Assumptions!$F$169+Assumptions!$C$118*Assumptions!$F$171-Assumptions!$C$119*Assumptions!$F$169)*(1+Assumptions!R$198))</f>
        <v>3441.35766756594</v>
      </c>
      <c r="S19" s="65" t="n">
        <f aca="false">IF(S$5="A",Inputs_Actuals!S19,R19*(1-Assumptions!$C$116*Assumptions!$F$169+Assumptions!$C$118*Assumptions!$F$171-Assumptions!$C$119*Assumptions!$F$169)*(1+Assumptions!S$198))</f>
        <v>3399.71723978839</v>
      </c>
      <c r="T19" s="65" t="n">
        <f aca="false">IF(T$5="A",Inputs_Actuals!T19,S19*(1-Assumptions!$C$116*Assumptions!$F$169+Assumptions!$C$118*Assumptions!$F$171-Assumptions!$C$119*Assumptions!$F$169)*(1+Assumptions!T$198))</f>
        <v>3358.58066118695</v>
      </c>
      <c r="U19" s="65" t="n">
        <f aca="false">IF(U$5="A",Inputs_Actuals!U19,T19*(1-Assumptions!$C$116*Assumptions!$F$169+Assumptions!$C$118*Assumptions!$F$171-Assumptions!$C$119*Assumptions!$F$169)*(1+Assumptions!U$198))</f>
        <v>3317.94183518659</v>
      </c>
      <c r="V19" s="65" t="n">
        <f aca="false">IF(V$5="A",Inputs_Actuals!V19,U19*(1-Assumptions!$C$116*Assumptions!$F$169+Assumptions!$C$118*Assumptions!$F$171-Assumptions!$C$119*Assumptions!$F$169)*(1+Assumptions!V$198))</f>
        <v>3277.79473898083</v>
      </c>
      <c r="W19" s="65" t="n">
        <f aca="false">IF(W$5="A",Inputs_Actuals!W19,V19*(1-Assumptions!$C$116*Assumptions!$F$169+Assumptions!$C$118*Assumptions!$F$171-Assumptions!$C$119*Assumptions!$F$169)*(1+Assumptions!W$198))</f>
        <v>3238.13342263917</v>
      </c>
      <c r="X19" s="65" t="n">
        <f aca="false">IF(X$5="A",Inputs_Actuals!X19,W19*(1-Assumptions!$C$116*Assumptions!$F$169+Assumptions!$C$118*Assumptions!$F$171-Assumptions!$C$119*Assumptions!$F$169)*(1+Assumptions!X$198))</f>
        <v>3198.95200822523</v>
      </c>
      <c r="Y19" s="65" t="n">
        <f aca="false">IF(Y$5="A",Inputs_Actuals!Y19,X19*(1-Assumptions!$C$116*Assumptions!$F$169+Assumptions!$C$118*Assumptions!$F$171-Assumptions!$C$119*Assumptions!$F$169)*(1+Assumptions!Y$198))</f>
        <v>3160.24468892571</v>
      </c>
      <c r="Z19" s="65" t="n">
        <f aca="false">IF(Z$5="A",Inputs_Actuals!Z19,Y19*(1-Assumptions!$C$116*Assumptions!$F$169+Assumptions!$C$118*Assumptions!$F$171-Assumptions!$C$119*Assumptions!$F$169)*(1+Assumptions!Z$198))</f>
        <v>3122.00572818971</v>
      </c>
      <c r="AA19" s="65" t="n">
        <f aca="false">IF(AA$5="A",Inputs_Actuals!AA19,Z19*(1-Assumptions!$C$116*Assumptions!$F$169+Assumptions!$C$118*Assumptions!$F$171-Assumptions!$C$119*Assumptions!$F$169)*(1+Assumptions!AA$198))</f>
        <v>3084.22945887861</v>
      </c>
      <c r="AB19" s="65" t="n">
        <f aca="false">IF(AB$5="A",Inputs_Actuals!AB19,AA19*(1-Assumptions!$C$116*Assumptions!$F$169+Assumptions!$C$118*Assumptions!$F$171-Assumptions!$C$119*Assumptions!$F$169)*(1+Assumptions!AB$198))</f>
        <v>3046.91028242618</v>
      </c>
    </row>
    <row r="20" customFormat="false" ht="15" hidden="false" customHeight="false" outlineLevel="0" collapsed="false">
      <c r="A20" s="28" t="s">
        <v>883</v>
      </c>
      <c r="B20" s="63" t="s">
        <v>872</v>
      </c>
      <c r="C20" s="64" t="n">
        <f aca="false">P20</f>
        <v>3220.78202284137</v>
      </c>
      <c r="D20" s="64" t="n">
        <f aca="false">AB20</f>
        <v>2922.17659338601</v>
      </c>
      <c r="E20" s="65" t="n">
        <f aca="false">IF(E$5="A",Inputs_Actuals!E20,History!$E$59*(1-Assumptions!$C$116*Assumptions!$F$169+Assumptions!$C$118*Assumptions!$F$171-Assumptions!$C$119*Assumptions!$F$169)*(1+Assumptions!E$198))</f>
        <v>3674.25</v>
      </c>
      <c r="F20" s="65" t="n">
        <f aca="false">IF(F$5="A",Inputs_Actuals!F20,E20*(1-Assumptions!$C$116*Assumptions!$F$169+Assumptions!$C$118*Assumptions!$F$171-Assumptions!$C$119*Assumptions!$F$169)*(1+Assumptions!F$198))</f>
        <v>3453.73</v>
      </c>
      <c r="G20" s="65" t="n">
        <f aca="false">IF(G$5="A",Inputs_Actuals!G20,F20*(1-Assumptions!$C$116*Assumptions!$F$169+Assumptions!$C$118*Assumptions!$F$171-Assumptions!$C$119*Assumptions!$F$169)*(1+Assumptions!G$198))</f>
        <v>3259.56</v>
      </c>
      <c r="H20" s="65" t="n">
        <f aca="false">IF(H$5="A",Inputs_Actuals!H20,G20*(1-Assumptions!$C$116*Assumptions!$F$169+Assumptions!$C$118*Assumptions!$F$171-Assumptions!$C$119*Assumptions!$F$169)*(1+Assumptions!H$198))</f>
        <v>3273.35</v>
      </c>
      <c r="I20" s="65" t="n">
        <f aca="false">IF(I$5="A",Inputs_Actuals!I20,H20*(1-Assumptions!$C$116*Assumptions!$F$169+Assumptions!$C$118*Assumptions!$F$171-Assumptions!$C$119*Assumptions!$F$169)*(1+Assumptions!I$198))</f>
        <v>3309.48</v>
      </c>
      <c r="J20" s="65" t="n">
        <f aca="false">IF(J$5="A",Inputs_Actuals!J20,I20*(1-Assumptions!$C$116*Assumptions!$F$169+Assumptions!$C$118*Assumptions!$F$171-Assumptions!$C$119*Assumptions!$F$169)*(1+Assumptions!J$198))</f>
        <v>3325.13</v>
      </c>
      <c r="K20" s="65" t="n">
        <f aca="false">IF(K$5="A",Inputs_Actuals!K20,J20*(1-Assumptions!$C$116*Assumptions!$F$169+Assumptions!$C$118*Assumptions!$F$171-Assumptions!$C$119*Assumptions!$F$169)*(1+Assumptions!K$198))</f>
        <v>3355.03</v>
      </c>
      <c r="L20" s="65" t="n">
        <f aca="false">IF(L$5="A",Inputs_Actuals!L20,K20*(1-Assumptions!$C$116*Assumptions!$F$169+Assumptions!$C$118*Assumptions!$F$171-Assumptions!$C$119*Assumptions!$F$169)*(1+Assumptions!L$198))</f>
        <v>3381.5</v>
      </c>
      <c r="M20" s="65" t="n">
        <f aca="false">IF(M$5="A",Inputs_Actuals!M20,L20*(1-Assumptions!$C$116*Assumptions!$F$169+Assumptions!$C$118*Assumptions!$F$171-Assumptions!$C$119*Assumptions!$F$169)*(1+Assumptions!M$198))</f>
        <v>3340.58385</v>
      </c>
      <c r="N20" s="65" t="n">
        <f aca="false">IF(N$5="A",Inputs_Actuals!N20,M20*(1-Assumptions!$C$116*Assumptions!$F$169+Assumptions!$C$118*Assumptions!$F$171-Assumptions!$C$119*Assumptions!$F$169)*(1+Assumptions!N$198))</f>
        <v>3300.162785415</v>
      </c>
      <c r="O20" s="65" t="n">
        <f aca="false">IF(O$5="A",Inputs_Actuals!O20,N20*(1-Assumptions!$C$116*Assumptions!$F$169+Assumptions!$C$118*Assumptions!$F$171-Assumptions!$C$119*Assumptions!$F$169)*(1+Assumptions!O$198))</f>
        <v>3260.23081571148</v>
      </c>
      <c r="P20" s="65" t="n">
        <f aca="false">IF(P$5="A",Inputs_Actuals!P20,O20*(1-Assumptions!$C$116*Assumptions!$F$169+Assumptions!$C$118*Assumptions!$F$171-Assumptions!$C$119*Assumptions!$F$169)*(1+Assumptions!P$198))</f>
        <v>3220.78202284137</v>
      </c>
      <c r="Q20" s="65" t="n">
        <f aca="false">IF(Q$5="A",Inputs_Actuals!Q20,P20*(1-Assumptions!$C$116*Assumptions!$F$169+Assumptions!$C$118*Assumptions!$F$171-Assumptions!$C$119*Assumptions!$F$169)*(1+Assumptions!Q$198))</f>
        <v>3340.90108838324</v>
      </c>
      <c r="R20" s="65" t="n">
        <f aca="false">IF(R$5="A",Inputs_Actuals!R20,Q20*(1-Assumptions!$C$116*Assumptions!$F$169+Assumptions!$C$118*Assumptions!$F$171-Assumptions!$C$119*Assumptions!$F$169)*(1+Assumptions!R$198))</f>
        <v>3300.4761852138</v>
      </c>
      <c r="S20" s="65" t="n">
        <f aca="false">IF(S$5="A",Inputs_Actuals!S20,R20*(1-Assumptions!$C$116*Assumptions!$F$169+Assumptions!$C$118*Assumptions!$F$171-Assumptions!$C$119*Assumptions!$F$169)*(1+Assumptions!S$198))</f>
        <v>3260.54042337272</v>
      </c>
      <c r="T20" s="65" t="n">
        <f aca="false">IF(T$5="A",Inputs_Actuals!T20,S20*(1-Assumptions!$C$116*Assumptions!$F$169+Assumptions!$C$118*Assumptions!$F$171-Assumptions!$C$119*Assumptions!$F$169)*(1+Assumptions!T$198))</f>
        <v>3221.08788424991</v>
      </c>
      <c r="U20" s="65" t="n">
        <f aca="false">IF(U$5="A",Inputs_Actuals!U20,T20*(1-Assumptions!$C$116*Assumptions!$F$169+Assumptions!$C$118*Assumptions!$F$171-Assumptions!$C$119*Assumptions!$F$169)*(1+Assumptions!U$198))</f>
        <v>3182.11272085048</v>
      </c>
      <c r="V20" s="65" t="n">
        <f aca="false">IF(V$5="A",Inputs_Actuals!V20,U20*(1-Assumptions!$C$116*Assumptions!$F$169+Assumptions!$C$118*Assumptions!$F$171-Assumptions!$C$119*Assumptions!$F$169)*(1+Assumptions!V$198))</f>
        <v>3143.60915692819</v>
      </c>
      <c r="W20" s="65" t="n">
        <f aca="false">IF(W$5="A",Inputs_Actuals!W20,V20*(1-Assumptions!$C$116*Assumptions!$F$169+Assumptions!$C$118*Assumptions!$F$171-Assumptions!$C$119*Assumptions!$F$169)*(1+Assumptions!W$198))</f>
        <v>3105.57148612936</v>
      </c>
      <c r="X20" s="65" t="n">
        <f aca="false">IF(X$5="A",Inputs_Actuals!X20,W20*(1-Assumptions!$C$116*Assumptions!$F$169+Assumptions!$C$118*Assumptions!$F$171-Assumptions!$C$119*Assumptions!$F$169)*(1+Assumptions!X$198))</f>
        <v>3067.99407114719</v>
      </c>
      <c r="Y20" s="65" t="n">
        <f aca="false">IF(Y$5="A",Inputs_Actuals!Y20,X20*(1-Assumptions!$C$116*Assumptions!$F$169+Assumptions!$C$118*Assumptions!$F$171-Assumptions!$C$119*Assumptions!$F$169)*(1+Assumptions!Y$198))</f>
        <v>3030.87134288631</v>
      </c>
      <c r="Z20" s="65" t="n">
        <f aca="false">IF(Z$5="A",Inputs_Actuals!Z20,Y20*(1-Assumptions!$C$116*Assumptions!$F$169+Assumptions!$C$118*Assumptions!$F$171-Assumptions!$C$119*Assumptions!$F$169)*(1+Assumptions!Z$198))</f>
        <v>2994.19779963739</v>
      </c>
      <c r="AA20" s="65" t="n">
        <f aca="false">IF(AA$5="A",Inputs_Actuals!AA20,Z20*(1-Assumptions!$C$116*Assumptions!$F$169+Assumptions!$C$118*Assumptions!$F$171-Assumptions!$C$119*Assumptions!$F$169)*(1+Assumptions!AA$198))</f>
        <v>2957.96800626178</v>
      </c>
      <c r="AB20" s="65" t="n">
        <f aca="false">IF(AB$5="A",Inputs_Actuals!AB20,AA20*(1-Assumptions!$C$116*Assumptions!$F$169+Assumptions!$C$118*Assumptions!$F$171-Assumptions!$C$119*Assumptions!$F$169)*(1+Assumptions!AB$198))</f>
        <v>2922.17659338601</v>
      </c>
    </row>
    <row r="21" customFormat="false" ht="15" hidden="false" customHeight="false" outlineLevel="0" collapsed="false">
      <c r="A21" s="28" t="s">
        <v>884</v>
      </c>
      <c r="B21" s="63" t="s">
        <v>872</v>
      </c>
      <c r="C21" s="64" t="n">
        <f aca="false">P21</f>
        <v>2036.18382392727</v>
      </c>
      <c r="D21" s="64" t="n">
        <f aca="false">AB21</f>
        <v>1847.40496808359</v>
      </c>
      <c r="E21" s="65" t="n">
        <f aca="false">IF(E$5="A",Inputs_Actuals!E21,History!$E$60*(1-Assumptions!$C$116*Assumptions!$F$169+Assumptions!$C$118*Assumptions!$F$171-Assumptions!$C$119*Assumptions!$F$169)*(1+Assumptions!E$198))</f>
        <v>2464.18</v>
      </c>
      <c r="F21" s="65" t="n">
        <f aca="false">IF(F$5="A",Inputs_Actuals!F21,E21*(1-Assumptions!$C$116*Assumptions!$F$169+Assumptions!$C$118*Assumptions!$F$171-Assumptions!$C$119*Assumptions!$F$169)*(1+Assumptions!F$198))</f>
        <v>2479.29</v>
      </c>
      <c r="G21" s="65" t="n">
        <f aca="false">IF(G$5="A",Inputs_Actuals!G21,F21*(1-Assumptions!$C$116*Assumptions!$F$169+Assumptions!$C$118*Assumptions!$F$171-Assumptions!$C$119*Assumptions!$F$169)*(1+Assumptions!G$198))</f>
        <v>2490.45</v>
      </c>
      <c r="H21" s="65" t="n">
        <f aca="false">IF(H$5="A",Inputs_Actuals!H21,G21*(1-Assumptions!$C$116*Assumptions!$F$169+Assumptions!$C$118*Assumptions!$F$171-Assumptions!$C$119*Assumptions!$F$169)*(1+Assumptions!H$198))</f>
        <v>2293.67</v>
      </c>
      <c r="I21" s="65" t="n">
        <f aca="false">IF(I$5="A",Inputs_Actuals!I21,H21*(1-Assumptions!$C$116*Assumptions!$F$169+Assumptions!$C$118*Assumptions!$F$171-Assumptions!$C$119*Assumptions!$F$169)*(1+Assumptions!I$198))</f>
        <v>2313</v>
      </c>
      <c r="J21" s="65" t="n">
        <f aca="false">IF(J$5="A",Inputs_Actuals!J21,I21*(1-Assumptions!$C$116*Assumptions!$F$169+Assumptions!$C$118*Assumptions!$F$171-Assumptions!$C$119*Assumptions!$F$169)*(1+Assumptions!J$198))</f>
        <v>2118.59</v>
      </c>
      <c r="K21" s="65" t="n">
        <f aca="false">IF(K$5="A",Inputs_Actuals!K21,J21*(1-Assumptions!$C$116*Assumptions!$F$169+Assumptions!$C$118*Assumptions!$F$171-Assumptions!$C$119*Assumptions!$F$169)*(1+Assumptions!K$198))</f>
        <v>2126.06</v>
      </c>
      <c r="L21" s="65" t="n">
        <f aca="false">IF(L$5="A",Inputs_Actuals!L21,K21*(1-Assumptions!$C$116*Assumptions!$F$169+Assumptions!$C$118*Assumptions!$F$171-Assumptions!$C$119*Assumptions!$F$169)*(1+Assumptions!L$198))</f>
        <v>2137.79</v>
      </c>
      <c r="M21" s="65" t="n">
        <f aca="false">IF(M$5="A",Inputs_Actuals!M21,L21*(1-Assumptions!$C$116*Assumptions!$F$169+Assumptions!$C$118*Assumptions!$F$171-Assumptions!$C$119*Assumptions!$F$169)*(1+Assumptions!M$198))</f>
        <v>2111.922741</v>
      </c>
      <c r="N21" s="65" t="n">
        <f aca="false">IF(N$5="A",Inputs_Actuals!N21,M21*(1-Assumptions!$C$116*Assumptions!$F$169+Assumptions!$C$118*Assumptions!$F$171-Assumptions!$C$119*Assumptions!$F$169)*(1+Assumptions!N$198))</f>
        <v>2086.3684758339</v>
      </c>
      <c r="O21" s="65" t="n">
        <f aca="false">IF(O$5="A",Inputs_Actuals!O21,N21*(1-Assumptions!$C$116*Assumptions!$F$169+Assumptions!$C$118*Assumptions!$F$171-Assumptions!$C$119*Assumptions!$F$169)*(1+Assumptions!O$198))</f>
        <v>2061.12341727631</v>
      </c>
      <c r="P21" s="65" t="n">
        <f aca="false">IF(P$5="A",Inputs_Actuals!P21,O21*(1-Assumptions!$C$116*Assumptions!$F$169+Assumptions!$C$118*Assumptions!$F$171-Assumptions!$C$119*Assumptions!$F$169)*(1+Assumptions!P$198))</f>
        <v>2036.18382392727</v>
      </c>
      <c r="Q21" s="65" t="n">
        <f aca="false">IF(Q$5="A",Inputs_Actuals!Q21,P21*(1-Assumptions!$C$116*Assumptions!$F$169+Assumptions!$C$118*Assumptions!$F$171-Assumptions!$C$119*Assumptions!$F$169)*(1+Assumptions!Q$198))</f>
        <v>2112.12329964063</v>
      </c>
      <c r="R21" s="65" t="n">
        <f aca="false">IF(R$5="A",Inputs_Actuals!R21,Q21*(1-Assumptions!$C$116*Assumptions!$F$169+Assumptions!$C$118*Assumptions!$F$171-Assumptions!$C$119*Assumptions!$F$169)*(1+Assumptions!R$198))</f>
        <v>2086.56660771498</v>
      </c>
      <c r="S21" s="65" t="n">
        <f aca="false">IF(S$5="A",Inputs_Actuals!S21,R21*(1-Assumptions!$C$116*Assumptions!$F$169+Assumptions!$C$118*Assumptions!$F$171-Assumptions!$C$119*Assumptions!$F$169)*(1+Assumptions!S$198))</f>
        <v>2061.31915176163</v>
      </c>
      <c r="T21" s="65" t="n">
        <f aca="false">IF(T$5="A",Inputs_Actuals!T21,S21*(1-Assumptions!$C$116*Assumptions!$F$169+Assumptions!$C$118*Assumptions!$F$171-Assumptions!$C$119*Assumptions!$F$169)*(1+Assumptions!T$198))</f>
        <v>2036.37719002532</v>
      </c>
      <c r="U21" s="65" t="n">
        <f aca="false">IF(U$5="A",Inputs_Actuals!U21,T21*(1-Assumptions!$C$116*Assumptions!$F$169+Assumptions!$C$118*Assumptions!$F$171-Assumptions!$C$119*Assumptions!$F$169)*(1+Assumptions!U$198))</f>
        <v>2011.73702602601</v>
      </c>
      <c r="V21" s="65" t="n">
        <f aca="false">IF(V$5="A",Inputs_Actuals!V21,U21*(1-Assumptions!$C$116*Assumptions!$F$169+Assumptions!$C$118*Assumptions!$F$171-Assumptions!$C$119*Assumptions!$F$169)*(1+Assumptions!V$198))</f>
        <v>1987.39500801109</v>
      </c>
      <c r="W21" s="65" t="n">
        <f aca="false">IF(W$5="A",Inputs_Actuals!W21,V21*(1-Assumptions!$C$116*Assumptions!$F$169+Assumptions!$C$118*Assumptions!$F$171-Assumptions!$C$119*Assumptions!$F$169)*(1+Assumptions!W$198))</f>
        <v>1963.34752841416</v>
      </c>
      <c r="X21" s="65" t="n">
        <f aca="false">IF(X$5="A",Inputs_Actuals!X21,W21*(1-Assumptions!$C$116*Assumptions!$F$169+Assumptions!$C$118*Assumptions!$F$171-Assumptions!$C$119*Assumptions!$F$169)*(1+Assumptions!X$198))</f>
        <v>1939.59102332035</v>
      </c>
      <c r="Y21" s="65" t="n">
        <f aca="false">IF(Y$5="A",Inputs_Actuals!Y21,X21*(1-Assumptions!$C$116*Assumptions!$F$169+Assumptions!$C$118*Assumptions!$F$171-Assumptions!$C$119*Assumptions!$F$169)*(1+Assumptions!Y$198))</f>
        <v>1916.12197193817</v>
      </c>
      <c r="Z21" s="65" t="n">
        <f aca="false">IF(Z$5="A",Inputs_Actuals!Z21,Y21*(1-Assumptions!$C$116*Assumptions!$F$169+Assumptions!$C$118*Assumptions!$F$171-Assumptions!$C$119*Assumptions!$F$169)*(1+Assumptions!Z$198))</f>
        <v>1892.93689607772</v>
      </c>
      <c r="AA21" s="65" t="n">
        <f aca="false">IF(AA$5="A",Inputs_Actuals!AA21,Z21*(1-Assumptions!$C$116*Assumptions!$F$169+Assumptions!$C$118*Assumptions!$F$171-Assumptions!$C$119*Assumptions!$F$169)*(1+Assumptions!AA$198))</f>
        <v>1870.03235963518</v>
      </c>
      <c r="AB21" s="65" t="n">
        <f aca="false">IF(AB$5="A",Inputs_Actuals!AB21,AA21*(1-Assumptions!$C$116*Assumptions!$F$169+Assumptions!$C$118*Assumptions!$F$171-Assumptions!$C$119*Assumptions!$F$169)*(1+Assumptions!AB$198))</f>
        <v>1847.40496808359</v>
      </c>
    </row>
    <row r="22" customFormat="false" ht="15" hidden="false" customHeight="false" outlineLevel="0" collapsed="false">
      <c r="A22" s="28" t="s">
        <v>885</v>
      </c>
      <c r="B22" s="63" t="s">
        <v>872</v>
      </c>
      <c r="C22" s="64" t="n">
        <f aca="false">P22</f>
        <v>5946.04080233416</v>
      </c>
      <c r="D22" s="64" t="n">
        <f aca="false">AB22</f>
        <v>5394.77093844758</v>
      </c>
      <c r="E22" s="65" t="n">
        <f aca="false">IF(E$5="A",Inputs_Actuals!E22,History!$E$61*(1-Assumptions!$C$114*Assumptions!$F$169+Assumptions!$C$118*Assumptions!$F$171-Assumptions!$C$119*Assumptions!$F$169)*(1+Assumptions!E$198))</f>
        <v>6237.39</v>
      </c>
      <c r="F22" s="65" t="n">
        <f aca="false">IF(F$5="A",Inputs_Actuals!F22,E22*(1-Assumptions!$C$116*Assumptions!$F$169+Assumptions!$C$118*Assumptions!$F$171-Assumptions!$C$119*Assumptions!$F$169)*(1+Assumptions!F$198))</f>
        <v>6278.65</v>
      </c>
      <c r="G22" s="65" t="n">
        <f aca="false">IF(G$5="A",Inputs_Actuals!G22,F22*(1-Assumptions!$C$116*Assumptions!$F$169+Assumptions!$C$118*Assumptions!$F$171-Assumptions!$C$119*Assumptions!$F$169)*(1+Assumptions!G$198))</f>
        <v>6322.38</v>
      </c>
      <c r="H22" s="65" t="n">
        <f aca="false">IF(H$5="A",Inputs_Actuals!H22,G22*(1-Assumptions!$C$116*Assumptions!$F$169+Assumptions!$C$118*Assumptions!$F$171-Assumptions!$C$119*Assumptions!$F$169)*(1+Assumptions!H$198))</f>
        <v>6328.37</v>
      </c>
      <c r="I22" s="65" t="n">
        <f aca="false">IF(I$5="A",Inputs_Actuals!I22,H22*(1-Assumptions!$C$116*Assumptions!$F$169+Assumptions!$C$118*Assumptions!$F$171-Assumptions!$C$119*Assumptions!$F$169)*(1+Assumptions!I$198))</f>
        <v>6342.66</v>
      </c>
      <c r="J22" s="65" t="n">
        <f aca="false">IF(J$5="A",Inputs_Actuals!J22,I22*(1-Assumptions!$C$116*Assumptions!$F$169+Assumptions!$C$118*Assumptions!$F$171-Assumptions!$C$119*Assumptions!$F$169)*(1+Assumptions!J$198))</f>
        <v>6389.92</v>
      </c>
      <c r="K22" s="65" t="n">
        <f aca="false">IF(K$5="A",Inputs_Actuals!K22,J22*(1-Assumptions!$C$116*Assumptions!$F$169+Assumptions!$C$118*Assumptions!$F$171-Assumptions!$C$119*Assumptions!$F$169)*(1+Assumptions!K$198))</f>
        <v>6225.85</v>
      </c>
      <c r="L22" s="65" t="n">
        <f aca="false">IF(L$5="A",Inputs_Actuals!L22,K22*(1-Assumptions!$C$116*Assumptions!$F$169+Assumptions!$C$118*Assumptions!$F$171-Assumptions!$C$119*Assumptions!$F$169)*(1+Assumptions!L$198))</f>
        <v>6242.75</v>
      </c>
      <c r="M22" s="65" t="n">
        <f aca="false">IF(M$5="A",Inputs_Actuals!M22,L22*(1-Assumptions!$C$116*Assumptions!$F$169+Assumptions!$C$118*Assumptions!$F$171-Assumptions!$C$119*Assumptions!$F$169)*(1+Assumptions!M$198))</f>
        <v>6167.212725</v>
      </c>
      <c r="N22" s="65" t="n">
        <f aca="false">IF(N$5="A",Inputs_Actuals!N22,M22*(1-Assumptions!$C$116*Assumptions!$F$169+Assumptions!$C$118*Assumptions!$F$171-Assumptions!$C$119*Assumptions!$F$169)*(1+Assumptions!N$198))</f>
        <v>6092.5894510275</v>
      </c>
      <c r="O22" s="65" t="n">
        <f aca="false">IF(O$5="A",Inputs_Actuals!O22,N22*(1-Assumptions!$C$116*Assumptions!$F$169+Assumptions!$C$118*Assumptions!$F$171-Assumptions!$C$119*Assumptions!$F$169)*(1+Assumptions!O$198))</f>
        <v>6018.86911867007</v>
      </c>
      <c r="P22" s="65" t="n">
        <f aca="false">IF(P$5="A",Inputs_Actuals!P22,O22*(1-Assumptions!$C$116*Assumptions!$F$169+Assumptions!$C$118*Assumptions!$F$171-Assumptions!$C$119*Assumptions!$F$169)*(1+Assumptions!P$198))</f>
        <v>5946.04080233416</v>
      </c>
      <c r="Q22" s="65" t="n">
        <f aca="false">IF(Q$5="A",Inputs_Actuals!Q22,P22*(1-Assumptions!$C$116*Assumptions!$F$169+Assumptions!$C$118*Assumptions!$F$171-Assumptions!$C$119*Assumptions!$F$169)*(1+Assumptions!Q$198))</f>
        <v>6167.79839405721</v>
      </c>
      <c r="R22" s="65" t="n">
        <f aca="false">IF(R$5="A",Inputs_Actuals!R22,Q22*(1-Assumptions!$C$116*Assumptions!$F$169+Assumptions!$C$118*Assumptions!$F$171-Assumptions!$C$119*Assumptions!$F$169)*(1+Assumptions!R$198))</f>
        <v>6093.16803348912</v>
      </c>
      <c r="S22" s="65" t="n">
        <f aca="false">IF(S$5="A",Inputs_Actuals!S22,R22*(1-Assumptions!$C$116*Assumptions!$F$169+Assumptions!$C$118*Assumptions!$F$171-Assumptions!$C$119*Assumptions!$F$169)*(1+Assumptions!S$198))</f>
        <v>6019.4407002839</v>
      </c>
      <c r="T22" s="65" t="n">
        <f aca="false">IF(T$5="A",Inputs_Actuals!T22,S22*(1-Assumptions!$C$116*Assumptions!$F$169+Assumptions!$C$118*Assumptions!$F$171-Assumptions!$C$119*Assumptions!$F$169)*(1+Assumptions!T$198))</f>
        <v>5946.60546781047</v>
      </c>
      <c r="U22" s="65" t="n">
        <f aca="false">IF(U$5="A",Inputs_Actuals!U22,T22*(1-Assumptions!$C$116*Assumptions!$F$169+Assumptions!$C$118*Assumptions!$F$171-Assumptions!$C$119*Assumptions!$F$169)*(1+Assumptions!U$198))</f>
        <v>5874.65154164996</v>
      </c>
      <c r="V22" s="65" t="n">
        <f aca="false">IF(V$5="A",Inputs_Actuals!V22,U22*(1-Assumptions!$C$116*Assumptions!$F$169+Assumptions!$C$118*Assumptions!$F$171-Assumptions!$C$119*Assumptions!$F$169)*(1+Assumptions!V$198))</f>
        <v>5803.568257996</v>
      </c>
      <c r="W22" s="65" t="n">
        <f aca="false">IF(W$5="A",Inputs_Actuals!W22,V22*(1-Assumptions!$C$116*Assumptions!$F$169+Assumptions!$C$118*Assumptions!$F$171-Assumptions!$C$119*Assumptions!$F$169)*(1+Assumptions!W$198))</f>
        <v>5733.34508207424</v>
      </c>
      <c r="X22" s="65" t="n">
        <f aca="false">IF(X$5="A",Inputs_Actuals!X22,W22*(1-Assumptions!$C$116*Assumptions!$F$169+Assumptions!$C$118*Assumptions!$F$171-Assumptions!$C$119*Assumptions!$F$169)*(1+Assumptions!X$198))</f>
        <v>5663.97160658115</v>
      </c>
      <c r="Y22" s="65" t="n">
        <f aca="false">IF(Y$5="A",Inputs_Actuals!Y22,X22*(1-Assumptions!$C$116*Assumptions!$F$169+Assumptions!$C$118*Assumptions!$F$171-Assumptions!$C$119*Assumptions!$F$169)*(1+Assumptions!Y$198))</f>
        <v>5595.43755014151</v>
      </c>
      <c r="Z22" s="65" t="n">
        <f aca="false">IF(Z$5="A",Inputs_Actuals!Z22,Y22*(1-Assumptions!$C$116*Assumptions!$F$169+Assumptions!$C$118*Assumptions!$F$171-Assumptions!$C$119*Assumptions!$F$169)*(1+Assumptions!Z$198))</f>
        <v>5527.7327557848</v>
      </c>
      <c r="AA22" s="65" t="n">
        <f aca="false">IF(AA$5="A",Inputs_Actuals!AA22,Z22*(1-Assumptions!$C$116*Assumptions!$F$169+Assumptions!$C$118*Assumptions!$F$171-Assumptions!$C$119*Assumptions!$F$169)*(1+Assumptions!AA$198))</f>
        <v>5460.84718943981</v>
      </c>
      <c r="AB22" s="65" t="n">
        <f aca="false">IF(AB$5="A",Inputs_Actuals!AB22,AA22*(1-Assumptions!$C$116*Assumptions!$F$169+Assumptions!$C$118*Assumptions!$F$171-Assumptions!$C$119*Assumptions!$F$169)*(1+Assumptions!AB$198))</f>
        <v>5394.77093844758</v>
      </c>
    </row>
    <row r="23" customFormat="false" ht="15" hidden="false" customHeight="false" outlineLevel="0" collapsed="false">
      <c r="A23" s="28" t="s">
        <v>886</v>
      </c>
      <c r="B23" s="63" t="s">
        <v>872</v>
      </c>
      <c r="C23" s="64" t="n">
        <f aca="false">P23</f>
        <v>8475.11904855928</v>
      </c>
      <c r="D23" s="64" t="n">
        <f aca="false">AB23</f>
        <v>7689.37305729602</v>
      </c>
      <c r="E23" s="65" t="n">
        <f aca="false">IF(E$5="A",Inputs_Actuals!E23,History!$E$62*(1-Assumptions!$C$114*Assumptions!$F$169+Assumptions!$C$118*Assumptions!$F$171-Assumptions!$C$119*Assumptions!$F$169)*(1+Assumptions!E$198))</f>
        <v>9565.13</v>
      </c>
      <c r="F23" s="65" t="n">
        <f aca="false">IF(F$5="A",Inputs_Actuals!F23,E23*(1-Assumptions!$C$114*Assumptions!$F$169+Assumptions!$C$118*Assumptions!$F$171-Assumptions!$C$119*Assumptions!$F$169)*(1+Assumptions!F$198))</f>
        <v>9648.47</v>
      </c>
      <c r="G23" s="65" t="n">
        <f aca="false">IF(G$5="A",Inputs_Actuals!G23,F23*(1-Assumptions!$C$116*Assumptions!$F$169+Assumptions!$C$118*Assumptions!$F$171-Assumptions!$C$119*Assumptions!$F$169)*(1+Assumptions!G$198))</f>
        <v>9331.97</v>
      </c>
      <c r="H23" s="65" t="n">
        <f aca="false">IF(H$5="A",Inputs_Actuals!H23,G23*(1-Assumptions!$C$116*Assumptions!$F$169+Assumptions!$C$118*Assumptions!$F$171-Assumptions!$C$119*Assumptions!$F$169)*(1+Assumptions!H$198))</f>
        <v>9224.75</v>
      </c>
      <c r="I23" s="65" t="n">
        <f aca="false">IF(I$5="A",Inputs_Actuals!I23,H23*(1-Assumptions!$C$116*Assumptions!$F$169+Assumptions!$C$118*Assumptions!$F$171-Assumptions!$C$119*Assumptions!$F$169)*(1+Assumptions!I$198))</f>
        <v>9061.96</v>
      </c>
      <c r="J23" s="65" t="n">
        <f aca="false">IF(J$5="A",Inputs_Actuals!J23,I23*(1-Assumptions!$C$116*Assumptions!$F$169+Assumptions!$C$118*Assumptions!$F$171-Assumptions!$C$119*Assumptions!$F$169)*(1+Assumptions!J$198))</f>
        <v>8755.95</v>
      </c>
      <c r="K23" s="65" t="n">
        <f aca="false">IF(K$5="A",Inputs_Actuals!K23,J23*(1-Assumptions!$C$116*Assumptions!$F$169+Assumptions!$C$118*Assumptions!$F$171-Assumptions!$C$119*Assumptions!$F$169)*(1+Assumptions!K$198))</f>
        <v>8808.53</v>
      </c>
      <c r="L23" s="65" t="n">
        <f aca="false">IF(L$5="A",Inputs_Actuals!L23,K23*(1-Assumptions!$C$116*Assumptions!$F$169+Assumptions!$C$118*Assumptions!$F$171-Assumptions!$C$119*Assumptions!$F$169)*(1+Assumptions!L$198))</f>
        <v>8898.03</v>
      </c>
      <c r="M23" s="65" t="n">
        <f aca="false">IF(M$5="A",Inputs_Actuals!M23,L23*(1-Assumptions!$C$116*Assumptions!$F$169+Assumptions!$C$118*Assumptions!$F$171-Assumptions!$C$119*Assumptions!$F$169)*(1+Assumptions!M$198))</f>
        <v>8790.363837</v>
      </c>
      <c r="N23" s="65" t="n">
        <f aca="false">IF(N$5="A",Inputs_Actuals!N23,M23*(1-Assumptions!$C$116*Assumptions!$F$169+Assumptions!$C$118*Assumptions!$F$171-Assumptions!$C$119*Assumptions!$F$169)*(1+Assumptions!N$198))</f>
        <v>8684.0004345723</v>
      </c>
      <c r="O23" s="65" t="n">
        <f aca="false">IF(O$5="A",Inputs_Actuals!O23,N23*(1-Assumptions!$C$116*Assumptions!$F$169+Assumptions!$C$118*Assumptions!$F$171-Assumptions!$C$119*Assumptions!$F$169)*(1+Assumptions!O$198))</f>
        <v>8578.92402931398</v>
      </c>
      <c r="P23" s="65" t="n">
        <f aca="false">IF(P$5="A",Inputs_Actuals!P23,O23*(1-Assumptions!$C$116*Assumptions!$F$169+Assumptions!$C$118*Assumptions!$F$171-Assumptions!$C$119*Assumptions!$F$169)*(1+Assumptions!P$198))</f>
        <v>8475.11904855928</v>
      </c>
      <c r="Q23" s="65" t="n">
        <f aca="false">IF(Q$5="A",Inputs_Actuals!Q23,P23*(1-Assumptions!$C$116*Assumptions!$F$169+Assumptions!$C$118*Assumptions!$F$171-Assumptions!$C$119*Assumptions!$F$169)*(1+Assumptions!Q$198))</f>
        <v>8791.19861347529</v>
      </c>
      <c r="R23" s="65" t="n">
        <f aca="false">IF(R$5="A",Inputs_Actuals!R23,Q23*(1-Assumptions!$C$116*Assumptions!$F$169+Assumptions!$C$118*Assumptions!$F$171-Assumptions!$C$119*Assumptions!$F$169)*(1+Assumptions!R$198))</f>
        <v>8684.82511025224</v>
      </c>
      <c r="S23" s="65" t="n">
        <f aca="false">IF(S$5="A",Inputs_Actuals!S23,R23*(1-Assumptions!$C$116*Assumptions!$F$169+Assumptions!$C$118*Assumptions!$F$171-Assumptions!$C$119*Assumptions!$F$169)*(1+Assumptions!S$198))</f>
        <v>8579.73872641819</v>
      </c>
      <c r="T23" s="65" t="n">
        <f aca="false">IF(T$5="A",Inputs_Actuals!T23,S23*(1-Assumptions!$C$116*Assumptions!$F$169+Assumptions!$C$118*Assumptions!$F$171-Assumptions!$C$119*Assumptions!$F$169)*(1+Assumptions!T$198))</f>
        <v>8475.92388782853</v>
      </c>
      <c r="U23" s="65" t="n">
        <f aca="false">IF(U$5="A",Inputs_Actuals!U23,T23*(1-Assumptions!$C$116*Assumptions!$F$169+Assumptions!$C$118*Assumptions!$F$171-Assumptions!$C$119*Assumptions!$F$169)*(1+Assumptions!U$198))</f>
        <v>8373.3652087858</v>
      </c>
      <c r="V23" s="65" t="n">
        <f aca="false">IF(V$5="A",Inputs_Actuals!V23,U23*(1-Assumptions!$C$116*Assumptions!$F$169+Assumptions!$C$118*Assumptions!$F$171-Assumptions!$C$119*Assumptions!$F$169)*(1+Assumptions!V$198))</f>
        <v>8272.0474897595</v>
      </c>
      <c r="W23" s="65" t="n">
        <f aca="false">IF(W$5="A",Inputs_Actuals!W23,V23*(1-Assumptions!$C$116*Assumptions!$F$169+Assumptions!$C$118*Assumptions!$F$171-Assumptions!$C$119*Assumptions!$F$169)*(1+Assumptions!W$198))</f>
        <v>8171.95571513341</v>
      </c>
      <c r="X23" s="65" t="n">
        <f aca="false">IF(X$5="A",Inputs_Actuals!X23,W23*(1-Assumptions!$C$116*Assumptions!$F$169+Assumptions!$C$118*Assumptions!$F$171-Assumptions!$C$119*Assumptions!$F$169)*(1+Assumptions!X$198))</f>
        <v>8073.07505098029</v>
      </c>
      <c r="Y23" s="65" t="n">
        <f aca="false">IF(Y$5="A",Inputs_Actuals!Y23,X23*(1-Assumptions!$C$116*Assumptions!$F$169+Assumptions!$C$118*Assumptions!$F$171-Assumptions!$C$119*Assumptions!$F$169)*(1+Assumptions!Y$198))</f>
        <v>7975.39084286343</v>
      </c>
      <c r="Z23" s="65" t="n">
        <f aca="false">IF(Z$5="A",Inputs_Actuals!Z23,Y23*(1-Assumptions!$C$116*Assumptions!$F$169+Assumptions!$C$118*Assumptions!$F$171-Assumptions!$C$119*Assumptions!$F$169)*(1+Assumptions!Z$198))</f>
        <v>7878.88861366478</v>
      </c>
      <c r="AA23" s="65" t="n">
        <f aca="false">IF(AA$5="A",Inputs_Actuals!AA23,Z23*(1-Assumptions!$C$116*Assumptions!$F$169+Assumptions!$C$118*Assumptions!$F$171-Assumptions!$C$119*Assumptions!$F$169)*(1+Assumptions!AA$198))</f>
        <v>7783.55406143944</v>
      </c>
      <c r="AB23" s="65" t="n">
        <f aca="false">IF(AB$5="A",Inputs_Actuals!AB23,AA23*(1-Assumptions!$C$116*Assumptions!$F$169+Assumptions!$C$118*Assumptions!$F$171-Assumptions!$C$119*Assumptions!$F$169)*(1+Assumptions!AB$198))</f>
        <v>7689.37305729602</v>
      </c>
    </row>
    <row r="24" customFormat="false" ht="15" hidden="false" customHeight="false" outlineLevel="0" collapsed="false">
      <c r="A24" s="28" t="s">
        <v>887</v>
      </c>
      <c r="B24" s="63" t="s">
        <v>872</v>
      </c>
      <c r="C24" s="64" t="n">
        <f aca="false">P24</f>
        <v>3003.59949530972</v>
      </c>
      <c r="D24" s="64" t="n">
        <f aca="false">AB24</f>
        <v>2725.12951166965</v>
      </c>
      <c r="E24" s="65" t="n">
        <f aca="false">IF(E$5="A",Inputs_Actuals!E24,History!$E$63*(1-Assumptions!$C$114*Assumptions!$F$169+Assumptions!$C$118*Assumptions!$F$171-Assumptions!$C$119*Assumptions!$F$169)*(1+Assumptions!E$198))</f>
        <v>3530.7</v>
      </c>
      <c r="F24" s="65" t="n">
        <f aca="false">IF(F$5="A",Inputs_Actuals!F24,E24*(1-Assumptions!$C$114*Assumptions!$F$169+Assumptions!$C$118*Assumptions!$F$171-Assumptions!$C$119*Assumptions!$F$169)*(1+Assumptions!F$198))</f>
        <v>3552.74</v>
      </c>
      <c r="G24" s="65" t="n">
        <f aca="false">IF(G$5="A",Inputs_Actuals!G24,F24*(1-Assumptions!$C$114*Assumptions!$F$169+Assumptions!$C$118*Assumptions!$F$171-Assumptions!$C$119*Assumptions!$F$169)*(1+Assumptions!G$198))</f>
        <v>3577.96</v>
      </c>
      <c r="H24" s="65" t="n">
        <f aca="false">IF(H$5="A",Inputs_Actuals!H24,G24*(1-Assumptions!$C$116*Assumptions!$F$169+Assumptions!$C$118*Assumptions!$F$171-Assumptions!$C$119*Assumptions!$F$169)*(1+Assumptions!H$198))</f>
        <v>3427.43</v>
      </c>
      <c r="I24" s="65" t="n">
        <f aca="false">IF(I$5="A",Inputs_Actuals!I24,H24*(1-Assumptions!$C$116*Assumptions!$F$169+Assumptions!$C$118*Assumptions!$F$171-Assumptions!$C$119*Assumptions!$F$169)*(1+Assumptions!I$198))</f>
        <v>3279.17</v>
      </c>
      <c r="J24" s="65" t="n">
        <f aca="false">IF(J$5="A",Inputs_Actuals!J24,I24*(1-Assumptions!$C$116*Assumptions!$F$169+Assumptions!$C$118*Assumptions!$F$171-Assumptions!$C$119*Assumptions!$F$169)*(1+Assumptions!J$198))</f>
        <v>3292.91</v>
      </c>
      <c r="K24" s="65" t="n">
        <f aca="false">IF(K$5="A",Inputs_Actuals!K24,J24*(1-Assumptions!$C$116*Assumptions!$F$169+Assumptions!$C$118*Assumptions!$F$171-Assumptions!$C$119*Assumptions!$F$169)*(1+Assumptions!K$198))</f>
        <v>3134.93</v>
      </c>
      <c r="L24" s="65" t="n">
        <f aca="false">IF(L$5="A",Inputs_Actuals!L24,K24*(1-Assumptions!$C$116*Assumptions!$F$169+Assumptions!$C$118*Assumptions!$F$171-Assumptions!$C$119*Assumptions!$F$169)*(1+Assumptions!L$198))</f>
        <v>3153.48</v>
      </c>
      <c r="M24" s="65" t="n">
        <f aca="false">IF(M$5="A",Inputs_Actuals!M24,L24*(1-Assumptions!$C$116*Assumptions!$F$169+Assumptions!$C$118*Assumptions!$F$171-Assumptions!$C$119*Assumptions!$F$169)*(1+Assumptions!M$198))</f>
        <v>3115.322892</v>
      </c>
      <c r="N24" s="65" t="n">
        <f aca="false">IF(N$5="A",Inputs_Actuals!N24,M24*(1-Assumptions!$C$116*Assumptions!$F$169+Assumptions!$C$118*Assumptions!$F$171-Assumptions!$C$119*Assumptions!$F$169)*(1+Assumptions!N$198))</f>
        <v>3077.6274850068</v>
      </c>
      <c r="O24" s="65" t="n">
        <f aca="false">IF(O$5="A",Inputs_Actuals!O24,N24*(1-Assumptions!$C$116*Assumptions!$F$169+Assumptions!$C$118*Assumptions!$F$171-Assumptions!$C$119*Assumptions!$F$169)*(1+Assumptions!O$198))</f>
        <v>3040.38819243822</v>
      </c>
      <c r="P24" s="65" t="n">
        <f aca="false">IF(P$5="A",Inputs_Actuals!P24,O24*(1-Assumptions!$C$116*Assumptions!$F$169+Assumptions!$C$118*Assumptions!$F$171-Assumptions!$C$119*Assumptions!$F$169)*(1+Assumptions!P$198))</f>
        <v>3003.59949530972</v>
      </c>
      <c r="Q24" s="65" t="n">
        <f aca="false">IF(Q$5="A",Inputs_Actuals!Q24,P24*(1-Assumptions!$C$116*Assumptions!$F$169+Assumptions!$C$118*Assumptions!$F$171-Assumptions!$C$119*Assumptions!$F$169)*(1+Assumptions!Q$198))</f>
        <v>3115.61873848729</v>
      </c>
      <c r="R24" s="65" t="n">
        <f aca="false">IF(R$5="A",Inputs_Actuals!R24,Q24*(1-Assumptions!$C$116*Assumptions!$F$169+Assumptions!$C$118*Assumptions!$F$171-Assumptions!$C$119*Assumptions!$F$169)*(1+Assumptions!R$198))</f>
        <v>3077.9197517516</v>
      </c>
      <c r="S24" s="65" t="n">
        <f aca="false">IF(S$5="A",Inputs_Actuals!S24,R24*(1-Assumptions!$C$116*Assumptions!$F$169+Assumptions!$C$118*Assumptions!$F$171-Assumptions!$C$119*Assumptions!$F$169)*(1+Assumptions!S$198))</f>
        <v>3040.6769227554</v>
      </c>
      <c r="T24" s="65" t="n">
        <f aca="false">IF(T$5="A",Inputs_Actuals!T24,S24*(1-Assumptions!$C$116*Assumptions!$F$169+Assumptions!$C$118*Assumptions!$F$171-Assumptions!$C$119*Assumptions!$F$169)*(1+Assumptions!T$198))</f>
        <v>3003.88473199006</v>
      </c>
      <c r="U24" s="65" t="n">
        <f aca="false">IF(U$5="A",Inputs_Actuals!U24,T24*(1-Assumptions!$C$116*Assumptions!$F$169+Assumptions!$C$118*Assumptions!$F$171-Assumptions!$C$119*Assumptions!$F$169)*(1+Assumptions!U$198))</f>
        <v>2967.53772673298</v>
      </c>
      <c r="V24" s="65" t="n">
        <f aca="false">IF(V$5="A",Inputs_Actuals!V24,U24*(1-Assumptions!$C$116*Assumptions!$F$169+Assumptions!$C$118*Assumptions!$F$171-Assumptions!$C$119*Assumptions!$F$169)*(1+Assumptions!V$198))</f>
        <v>2931.63052023951</v>
      </c>
      <c r="W24" s="65" t="n">
        <f aca="false">IF(W$5="A",Inputs_Actuals!W24,V24*(1-Assumptions!$C$116*Assumptions!$F$169+Assumptions!$C$118*Assumptions!$F$171-Assumptions!$C$119*Assumptions!$F$169)*(1+Assumptions!W$198))</f>
        <v>2896.15779094461</v>
      </c>
      <c r="X24" s="65" t="n">
        <f aca="false">IF(X$5="A",Inputs_Actuals!X24,W24*(1-Assumptions!$C$116*Assumptions!$F$169+Assumptions!$C$118*Assumptions!$F$171-Assumptions!$C$119*Assumptions!$F$169)*(1+Assumptions!X$198))</f>
        <v>2861.11428167418</v>
      </c>
      <c r="Y24" s="65" t="n">
        <f aca="false">IF(Y$5="A",Inputs_Actuals!Y24,X24*(1-Assumptions!$C$116*Assumptions!$F$169+Assumptions!$C$118*Assumptions!$F$171-Assumptions!$C$119*Assumptions!$F$169)*(1+Assumptions!Y$198))</f>
        <v>2826.49479886593</v>
      </c>
      <c r="Z24" s="65" t="n">
        <f aca="false">IF(Z$5="A",Inputs_Actuals!Z24,Y24*(1-Assumptions!$C$116*Assumptions!$F$169+Assumptions!$C$118*Assumptions!$F$171-Assumptions!$C$119*Assumptions!$F$169)*(1+Assumptions!Z$198))</f>
        <v>2792.29421179965</v>
      </c>
      <c r="AA24" s="65" t="n">
        <f aca="false">IF(AA$5="A",Inputs_Actuals!AA24,Z24*(1-Assumptions!$C$116*Assumptions!$F$169+Assumptions!$C$118*Assumptions!$F$171-Assumptions!$C$119*Assumptions!$F$169)*(1+Assumptions!AA$198))</f>
        <v>2758.50745183687</v>
      </c>
      <c r="AB24" s="65" t="n">
        <f aca="false">IF(AB$5="A",Inputs_Actuals!AB24,AA24*(1-Assumptions!$C$116*Assumptions!$F$169+Assumptions!$C$118*Assumptions!$F$171-Assumptions!$C$119*Assumptions!$F$169)*(1+Assumptions!AB$198))</f>
        <v>2725.12951166965</v>
      </c>
    </row>
    <row r="25" customFormat="false" ht="15" hidden="false" customHeight="false" outlineLevel="0" collapsed="false">
      <c r="A25" s="28" t="s">
        <v>888</v>
      </c>
      <c r="B25" s="63" t="s">
        <v>872</v>
      </c>
      <c r="C25" s="64" t="n">
        <f aca="false">P25</f>
        <v>2675.54929737773</v>
      </c>
      <c r="D25" s="64" t="n">
        <f aca="false">AB25</f>
        <v>2427.49353287503</v>
      </c>
      <c r="E25" s="65" t="n">
        <f aca="false">IF(E$5="A",Inputs_Actuals!E25,History!$E$64*(1-Assumptions!$C$114*Assumptions!$F$169+Assumptions!$C$118*Assumptions!$F$171-Assumptions!$C$119*Assumptions!$F$169)*(1+Assumptions!E$198))</f>
        <v>3544.85</v>
      </c>
      <c r="F25" s="65" t="n">
        <f aca="false">IF(F$5="A",Inputs_Actuals!F25,E25*(1-Assumptions!$C$114*Assumptions!$F$169+Assumptions!$C$118*Assumptions!$F$171-Assumptions!$C$119*Assumptions!$F$169)*(1+Assumptions!F$198))</f>
        <v>2942.59</v>
      </c>
      <c r="G25" s="65" t="n">
        <f aca="false">IF(G$5="A",Inputs_Actuals!G25,F25*(1-Assumptions!$C$114*Assumptions!$F$169+Assumptions!$C$118*Assumptions!$F$171-Assumptions!$C$119*Assumptions!$F$169)*(1+Assumptions!G$198))</f>
        <v>2960.08</v>
      </c>
      <c r="H25" s="65" t="n">
        <f aca="false">IF(H$5="A",Inputs_Actuals!H25,G25*(1-Assumptions!$C$114*Assumptions!$F$169+Assumptions!$C$118*Assumptions!$F$171-Assumptions!$C$119*Assumptions!$F$169)*(1+Assumptions!H$198))</f>
        <v>2770.24</v>
      </c>
      <c r="I25" s="65" t="n">
        <f aca="false">IF(I$5="A",Inputs_Actuals!I25,H25*(1-Assumptions!$C$116*Assumptions!$F$169+Assumptions!$C$118*Assumptions!$F$171-Assumptions!$C$119*Assumptions!$F$169)*(1+Assumptions!I$198))</f>
        <v>2797.38</v>
      </c>
      <c r="J25" s="65" t="n">
        <f aca="false">IF(J$5="A",Inputs_Actuals!J25,I25*(1-Assumptions!$C$116*Assumptions!$F$169+Assumptions!$C$118*Assumptions!$F$171-Assumptions!$C$119*Assumptions!$F$169)*(1+Assumptions!J$198))</f>
        <v>2794</v>
      </c>
      <c r="K25" s="65" t="n">
        <f aca="false">IF(K$5="A",Inputs_Actuals!K25,J25*(1-Assumptions!$C$116*Assumptions!$F$169+Assumptions!$C$118*Assumptions!$F$171-Assumptions!$C$119*Assumptions!$F$169)*(1+Assumptions!K$198))</f>
        <v>2796.28</v>
      </c>
      <c r="L25" s="65" t="n">
        <f aca="false">IF(L$5="A",Inputs_Actuals!L25,K25*(1-Assumptions!$C$116*Assumptions!$F$169+Assumptions!$C$118*Assumptions!$F$171-Assumptions!$C$119*Assumptions!$F$169)*(1+Assumptions!L$198))</f>
        <v>2809.06</v>
      </c>
      <c r="M25" s="65" t="n">
        <f aca="false">IF(M$5="A",Inputs_Actuals!M25,L25*(1-Assumptions!$C$116*Assumptions!$F$169+Assumptions!$C$118*Assumptions!$F$171-Assumptions!$C$119*Assumptions!$F$169)*(1+Assumptions!M$198))</f>
        <v>2775.070374</v>
      </c>
      <c r="N25" s="65" t="n">
        <f aca="false">IF(N$5="A",Inputs_Actuals!N25,M25*(1-Assumptions!$C$116*Assumptions!$F$169+Assumptions!$C$118*Assumptions!$F$171-Assumptions!$C$119*Assumptions!$F$169)*(1+Assumptions!N$198))</f>
        <v>2741.4920224746</v>
      </c>
      <c r="O25" s="65" t="n">
        <f aca="false">IF(O$5="A",Inputs_Actuals!O25,N25*(1-Assumptions!$C$116*Assumptions!$F$169+Assumptions!$C$118*Assumptions!$F$171-Assumptions!$C$119*Assumptions!$F$169)*(1+Assumptions!O$198))</f>
        <v>2708.31996900266</v>
      </c>
      <c r="P25" s="65" t="n">
        <f aca="false">IF(P$5="A",Inputs_Actuals!P25,O25*(1-Assumptions!$C$116*Assumptions!$F$169+Assumptions!$C$118*Assumptions!$F$171-Assumptions!$C$119*Assumptions!$F$169)*(1+Assumptions!P$198))</f>
        <v>2675.54929737773</v>
      </c>
      <c r="Q25" s="65" t="n">
        <f aca="false">IF(Q$5="A",Inputs_Actuals!Q25,P25*(1-Assumptions!$C$116*Assumptions!$F$169+Assumptions!$C$118*Assumptions!$F$171-Assumptions!$C$119*Assumptions!$F$169)*(1+Assumptions!Q$198))</f>
        <v>2775.33390842343</v>
      </c>
      <c r="R25" s="65" t="n">
        <f aca="false">IF(R$5="A",Inputs_Actuals!R25,Q25*(1-Assumptions!$C$116*Assumptions!$F$169+Assumptions!$C$118*Assumptions!$F$171-Assumptions!$C$119*Assumptions!$F$169)*(1+Assumptions!R$198))</f>
        <v>2741.7523681315</v>
      </c>
      <c r="S25" s="65" t="n">
        <f aca="false">IF(S$5="A",Inputs_Actuals!S25,R25*(1-Assumptions!$C$116*Assumptions!$F$169+Assumptions!$C$118*Assumptions!$F$171-Assumptions!$C$119*Assumptions!$F$169)*(1+Assumptions!S$198))</f>
        <v>2708.57716447711</v>
      </c>
      <c r="T25" s="65" t="n">
        <f aca="false">IF(T$5="A",Inputs_Actuals!T25,S25*(1-Assumptions!$C$116*Assumptions!$F$169+Assumptions!$C$118*Assumptions!$F$171-Assumptions!$C$119*Assumptions!$F$169)*(1+Assumptions!T$198))</f>
        <v>2675.80338078694</v>
      </c>
      <c r="U25" s="65" t="n">
        <f aca="false">IF(U$5="A",Inputs_Actuals!U25,T25*(1-Assumptions!$C$116*Assumptions!$F$169+Assumptions!$C$118*Assumptions!$F$171-Assumptions!$C$119*Assumptions!$F$169)*(1+Assumptions!U$198))</f>
        <v>2643.42615987942</v>
      </c>
      <c r="V25" s="65" t="n">
        <f aca="false">IF(V$5="A",Inputs_Actuals!V25,U25*(1-Assumptions!$C$116*Assumptions!$F$169+Assumptions!$C$118*Assumptions!$F$171-Assumptions!$C$119*Assumptions!$F$169)*(1+Assumptions!V$198))</f>
        <v>2611.44070334488</v>
      </c>
      <c r="W25" s="65" t="n">
        <f aca="false">IF(W$5="A",Inputs_Actuals!W25,V25*(1-Assumptions!$C$116*Assumptions!$F$169+Assumptions!$C$118*Assumptions!$F$171-Assumptions!$C$119*Assumptions!$F$169)*(1+Assumptions!W$198))</f>
        <v>2579.8422708344</v>
      </c>
      <c r="X25" s="65" t="n">
        <f aca="false">IF(X$5="A",Inputs_Actuals!X25,W25*(1-Assumptions!$C$116*Assumptions!$F$169+Assumptions!$C$118*Assumptions!$F$171-Assumptions!$C$119*Assumptions!$F$169)*(1+Assumptions!X$198))</f>
        <v>2548.62617935731</v>
      </c>
      <c r="Y25" s="65" t="n">
        <f aca="false">IF(Y$5="A",Inputs_Actuals!Y25,X25*(1-Assumptions!$C$116*Assumptions!$F$169+Assumptions!$C$118*Assumptions!$F$171-Assumptions!$C$119*Assumptions!$F$169)*(1+Assumptions!Y$198))</f>
        <v>2517.78780258708</v>
      </c>
      <c r="Z25" s="65" t="n">
        <f aca="false">IF(Z$5="A",Inputs_Actuals!Z25,Y25*(1-Assumptions!$C$116*Assumptions!$F$169+Assumptions!$C$118*Assumptions!$F$171-Assumptions!$C$119*Assumptions!$F$169)*(1+Assumptions!Z$198))</f>
        <v>2487.32257017578</v>
      </c>
      <c r="AA25" s="65" t="n">
        <f aca="false">IF(AA$5="A",Inputs_Actuals!AA25,Z25*(1-Assumptions!$C$116*Assumptions!$F$169+Assumptions!$C$118*Assumptions!$F$171-Assumptions!$C$119*Assumptions!$F$169)*(1+Assumptions!AA$198))</f>
        <v>2457.22596707665</v>
      </c>
      <c r="AB25" s="65" t="n">
        <f aca="false">IF(AB$5="A",Inputs_Actuals!AB25,AA25*(1-Assumptions!$C$116*Assumptions!$F$169+Assumptions!$C$118*Assumptions!$F$171-Assumptions!$C$119*Assumptions!$F$169)*(1+Assumptions!AB$198))</f>
        <v>2427.49353287503</v>
      </c>
    </row>
    <row r="26" customFormat="false" ht="15" hidden="false" customHeight="false" outlineLevel="0" collapsed="false">
      <c r="A26" s="28" t="s">
        <v>889</v>
      </c>
      <c r="B26" s="63" t="s">
        <v>872</v>
      </c>
      <c r="C26" s="64" t="n">
        <f aca="false">P26</f>
        <v>3805.76137962637</v>
      </c>
      <c r="D26" s="64" t="n">
        <f aca="false">AB26</f>
        <v>3452.92129199902</v>
      </c>
      <c r="E26" s="65" t="n">
        <f aca="false">IF(E$5="A",Inputs_Actuals!E26,History!$E$65*(1-Assumptions!$C$114*Assumptions!$F$169+Assumptions!$C$118*Assumptions!$F$171-Assumptions!$C$119*Assumptions!$F$169)*(1+Assumptions!E$198))</f>
        <v>4210.38</v>
      </c>
      <c r="F26" s="65" t="n">
        <f aca="false">IF(F$5="A",Inputs_Actuals!F26,E26*(1-Assumptions!$C$114*Assumptions!$F$169+Assumptions!$C$118*Assumptions!$F$171-Assumptions!$C$119*Assumptions!$F$169)*(1+Assumptions!F$198))</f>
        <v>4034.77</v>
      </c>
      <c r="G26" s="65" t="n">
        <f aca="false">IF(G$5="A",Inputs_Actuals!G26,F26*(1-Assumptions!$C$114*Assumptions!$F$169+Assumptions!$C$118*Assumptions!$F$171-Assumptions!$C$119*Assumptions!$F$169)*(1+Assumptions!G$198))</f>
        <v>3881.08</v>
      </c>
      <c r="H26" s="65" t="n">
        <f aca="false">IF(H$5="A",Inputs_Actuals!H26,G26*(1-Assumptions!$C$114*Assumptions!$F$169+Assumptions!$C$118*Assumptions!$F$171-Assumptions!$C$119*Assumptions!$F$169)*(1+Assumptions!H$198))</f>
        <v>3912.97</v>
      </c>
      <c r="I26" s="65" t="n">
        <f aca="false">IF(I$5="A",Inputs_Actuals!I26,H26*(1-Assumptions!$C$114*Assumptions!$F$169+Assumptions!$C$118*Assumptions!$F$171-Assumptions!$C$119*Assumptions!$F$169)*(1+Assumptions!I$198))</f>
        <v>3942.7</v>
      </c>
      <c r="J26" s="65" t="n">
        <f aca="false">IF(J$5="A",Inputs_Actuals!J26,I26*(1-Assumptions!$C$116*Assumptions!$F$169+Assumptions!$C$118*Assumptions!$F$171-Assumptions!$C$119*Assumptions!$F$169)*(1+Assumptions!J$198))</f>
        <v>3970.42</v>
      </c>
      <c r="K26" s="65" t="n">
        <f aca="false">IF(K$5="A",Inputs_Actuals!K26,J26*(1-Assumptions!$C$116*Assumptions!$F$169+Assumptions!$C$118*Assumptions!$F$171-Assumptions!$C$119*Assumptions!$F$169)*(1+Assumptions!K$198))</f>
        <v>3977.52</v>
      </c>
      <c r="L26" s="65" t="n">
        <f aca="false">IF(L$5="A",Inputs_Actuals!L26,K26*(1-Assumptions!$C$116*Assumptions!$F$169+Assumptions!$C$118*Assumptions!$F$171-Assumptions!$C$119*Assumptions!$F$169)*(1+Assumptions!L$198))</f>
        <v>3995.67</v>
      </c>
      <c r="M26" s="65" t="n">
        <f aca="false">IF(M$5="A",Inputs_Actuals!M26,L26*(1-Assumptions!$C$116*Assumptions!$F$169+Assumptions!$C$118*Assumptions!$F$171-Assumptions!$C$119*Assumptions!$F$169)*(1+Assumptions!M$198))</f>
        <v>3947.322393</v>
      </c>
      <c r="N26" s="65" t="n">
        <f aca="false">IF(N$5="A",Inputs_Actuals!N26,M26*(1-Assumptions!$C$116*Assumptions!$F$169+Assumptions!$C$118*Assumptions!$F$171-Assumptions!$C$119*Assumptions!$F$169)*(1+Assumptions!N$198))</f>
        <v>3899.5597920447</v>
      </c>
      <c r="O26" s="65" t="n">
        <f aca="false">IF(O$5="A",Inputs_Actuals!O26,N26*(1-Assumptions!$C$116*Assumptions!$F$169+Assumptions!$C$118*Assumptions!$F$171-Assumptions!$C$119*Assumptions!$F$169)*(1+Assumptions!O$198))</f>
        <v>3852.37511856096</v>
      </c>
      <c r="P26" s="65" t="n">
        <f aca="false">IF(P$5="A",Inputs_Actuals!P26,O26*(1-Assumptions!$C$116*Assumptions!$F$169+Assumptions!$C$118*Assumptions!$F$171-Assumptions!$C$119*Assumptions!$F$169)*(1+Assumptions!P$198))</f>
        <v>3805.76137962637</v>
      </c>
      <c r="Q26" s="65" t="n">
        <f aca="false">IF(Q$5="A",Inputs_Actuals!Q26,P26*(1-Assumptions!$C$116*Assumptions!$F$169+Assumptions!$C$118*Assumptions!$F$171-Assumptions!$C$119*Assumptions!$F$169)*(1+Assumptions!Q$198))</f>
        <v>3947.69725027954</v>
      </c>
      <c r="R26" s="65" t="n">
        <f aca="false">IF(R$5="A",Inputs_Actuals!R26,Q26*(1-Assumptions!$C$116*Assumptions!$F$169+Assumptions!$C$118*Assumptions!$F$171-Assumptions!$C$119*Assumptions!$F$169)*(1+Assumptions!R$198))</f>
        <v>3899.93011355115</v>
      </c>
      <c r="S26" s="65" t="n">
        <f aca="false">IF(S$5="A",Inputs_Actuals!S26,R26*(1-Assumptions!$C$116*Assumptions!$F$169+Assumptions!$C$118*Assumptions!$F$171-Assumptions!$C$119*Assumptions!$F$169)*(1+Assumptions!S$198))</f>
        <v>3852.74095917719</v>
      </c>
      <c r="T26" s="65" t="n">
        <f aca="false">IF(T$5="A",Inputs_Actuals!T26,S26*(1-Assumptions!$C$116*Assumptions!$F$169+Assumptions!$C$118*Assumptions!$F$171-Assumptions!$C$119*Assumptions!$F$169)*(1+Assumptions!T$198))</f>
        <v>3806.12279357114</v>
      </c>
      <c r="U26" s="65" t="n">
        <f aca="false">IF(U$5="A",Inputs_Actuals!U26,T26*(1-Assumptions!$C$116*Assumptions!$F$169+Assumptions!$C$118*Assumptions!$F$171-Assumptions!$C$119*Assumptions!$F$169)*(1+Assumptions!U$198))</f>
        <v>3760.06870776893</v>
      </c>
      <c r="V26" s="65" t="n">
        <f aca="false">IF(V$5="A",Inputs_Actuals!V26,U26*(1-Assumptions!$C$116*Assumptions!$F$169+Assumptions!$C$118*Assumptions!$F$171-Assumptions!$C$119*Assumptions!$F$169)*(1+Assumptions!V$198))</f>
        <v>3714.57187640493</v>
      </c>
      <c r="W26" s="65" t="n">
        <f aca="false">IF(W$5="A",Inputs_Actuals!W26,V26*(1-Assumptions!$C$116*Assumptions!$F$169+Assumptions!$C$118*Assumptions!$F$171-Assumptions!$C$119*Assumptions!$F$169)*(1+Assumptions!W$198))</f>
        <v>3669.62555670043</v>
      </c>
      <c r="X26" s="65" t="n">
        <f aca="false">IF(X$5="A",Inputs_Actuals!X26,W26*(1-Assumptions!$C$116*Assumptions!$F$169+Assumptions!$C$118*Assumptions!$F$171-Assumptions!$C$119*Assumptions!$F$169)*(1+Assumptions!X$198))</f>
        <v>3625.22308746435</v>
      </c>
      <c r="Y26" s="65" t="n">
        <f aca="false">IF(Y$5="A",Inputs_Actuals!Y26,X26*(1-Assumptions!$C$116*Assumptions!$F$169+Assumptions!$C$118*Assumptions!$F$171-Assumptions!$C$119*Assumptions!$F$169)*(1+Assumptions!Y$198))</f>
        <v>3581.35788810603</v>
      </c>
      <c r="Z26" s="65" t="n">
        <f aca="false">IF(Z$5="A",Inputs_Actuals!Z26,Y26*(1-Assumptions!$C$116*Assumptions!$F$169+Assumptions!$C$118*Assumptions!$F$171-Assumptions!$C$119*Assumptions!$F$169)*(1+Assumptions!Z$198))</f>
        <v>3538.02345765995</v>
      </c>
      <c r="AA26" s="65" t="n">
        <f aca="false">IF(AA$5="A",Inputs_Actuals!AA26,Z26*(1-Assumptions!$C$116*Assumptions!$F$169+Assumptions!$C$118*Assumptions!$F$171-Assumptions!$C$119*Assumptions!$F$169)*(1+Assumptions!AA$198))</f>
        <v>3495.21337382226</v>
      </c>
      <c r="AB26" s="65" t="n">
        <f aca="false">IF(AB$5="A",Inputs_Actuals!AB26,AA26*(1-Assumptions!$C$116*Assumptions!$F$169+Assumptions!$C$118*Assumptions!$F$171-Assumptions!$C$119*Assumptions!$F$169)*(1+Assumptions!AB$198))</f>
        <v>3452.92129199902</v>
      </c>
    </row>
    <row r="27" customFormat="false" ht="15" hidden="false" customHeight="false" outlineLevel="0" collapsed="false">
      <c r="A27" s="28" t="s">
        <v>890</v>
      </c>
      <c r="B27" s="63" t="s">
        <v>872</v>
      </c>
      <c r="C27" s="64" t="n">
        <f aca="false">P27</f>
        <v>3341.69826646098</v>
      </c>
      <c r="D27" s="64" t="n">
        <f aca="false">AB27</f>
        <v>3031.88243946921</v>
      </c>
      <c r="E27" s="65" t="n">
        <f aca="false">IF(E$5="A",Inputs_Actuals!E27,History!$E$66*(1-Assumptions!$C$114*Assumptions!$F$169+Assumptions!$C$118*Assumptions!$F$171-Assumptions!$C$119*Assumptions!$F$169)*(1+Assumptions!E$198))</f>
        <v>4868.12</v>
      </c>
      <c r="F27" s="65" t="n">
        <f aca="false">IF(F$5="A",Inputs_Actuals!F27,E27*(1-Assumptions!$C$114*Assumptions!$F$169+Assumptions!$C$118*Assumptions!$F$171-Assumptions!$C$119*Assumptions!$F$169)*(1+Assumptions!F$198))</f>
        <v>4664.77</v>
      </c>
      <c r="G27" s="65" t="n">
        <f aca="false">IF(G$5="A",Inputs_Actuals!G27,F27*(1-Assumptions!$C$114*Assumptions!$F$169+Assumptions!$C$118*Assumptions!$F$171-Assumptions!$C$119*Assumptions!$F$169)*(1+Assumptions!G$198))</f>
        <v>4687.76</v>
      </c>
      <c r="H27" s="65" t="n">
        <f aca="false">IF(H$5="A",Inputs_Actuals!H27,G27*(1-Assumptions!$C$114*Assumptions!$F$169+Assumptions!$C$118*Assumptions!$F$171-Assumptions!$C$119*Assumptions!$F$169)*(1+Assumptions!H$198))</f>
        <v>4293.74</v>
      </c>
      <c r="I27" s="65" t="n">
        <f aca="false">IF(I$5="A",Inputs_Actuals!I27,H27*(1-Assumptions!$C$114*Assumptions!$F$169+Assumptions!$C$118*Assumptions!$F$171-Assumptions!$C$119*Assumptions!$F$169)*(1+Assumptions!I$198))</f>
        <v>4324.2</v>
      </c>
      <c r="J27" s="65" t="n">
        <f aca="false">IF(J$5="A",Inputs_Actuals!J27,I27*(1-Assumptions!$C$114*Assumptions!$F$169+Assumptions!$C$118*Assumptions!$F$171-Assumptions!$C$119*Assumptions!$F$169)*(1+Assumptions!J$198))</f>
        <v>3903</v>
      </c>
      <c r="K27" s="65" t="n">
        <f aca="false">IF(K$5="A",Inputs_Actuals!K27,J27*(1-Assumptions!$C$116*Assumptions!$F$169+Assumptions!$C$118*Assumptions!$F$171-Assumptions!$C$119*Assumptions!$F$169)*(1+Assumptions!K$198))</f>
        <v>3682.34</v>
      </c>
      <c r="L27" s="65" t="n">
        <f aca="false">IF(L$5="A",Inputs_Actuals!L27,K27*(1-Assumptions!$C$116*Assumptions!$F$169+Assumptions!$C$118*Assumptions!$F$171-Assumptions!$C$119*Assumptions!$F$169)*(1+Assumptions!L$198))</f>
        <v>3508.45</v>
      </c>
      <c r="M27" s="65" t="n">
        <f aca="false">IF(M$5="A",Inputs_Actuals!M27,L27*(1-Assumptions!$C$116*Assumptions!$F$169+Assumptions!$C$118*Assumptions!$F$171-Assumptions!$C$119*Assumptions!$F$169)*(1+Assumptions!M$198))</f>
        <v>3465.997755</v>
      </c>
      <c r="N27" s="65" t="n">
        <f aca="false">IF(N$5="A",Inputs_Actuals!N27,M27*(1-Assumptions!$C$116*Assumptions!$F$169+Assumptions!$C$118*Assumptions!$F$171-Assumptions!$C$119*Assumptions!$F$169)*(1+Assumptions!N$198))</f>
        <v>3424.0591821645</v>
      </c>
      <c r="O27" s="65" t="n">
        <f aca="false">IF(O$5="A",Inputs_Actuals!O27,N27*(1-Assumptions!$C$116*Assumptions!$F$169+Assumptions!$C$118*Assumptions!$F$171-Assumptions!$C$119*Assumptions!$F$169)*(1+Assumptions!O$198))</f>
        <v>3382.62806606031</v>
      </c>
      <c r="P27" s="65" t="n">
        <f aca="false">IF(P$5="A",Inputs_Actuals!P27,O27*(1-Assumptions!$C$116*Assumptions!$F$169+Assumptions!$C$118*Assumptions!$F$171-Assumptions!$C$119*Assumptions!$F$169)*(1+Assumptions!P$198))</f>
        <v>3341.69826646098</v>
      </c>
      <c r="Q27" s="65" t="n">
        <f aca="false">IF(Q$5="A",Inputs_Actuals!Q27,P27*(1-Assumptions!$C$116*Assumptions!$F$169+Assumptions!$C$118*Assumptions!$F$171-Assumptions!$C$119*Assumptions!$F$169)*(1+Assumptions!Q$198))</f>
        <v>3466.32690330864</v>
      </c>
      <c r="R27" s="65" t="n">
        <f aca="false">IF(R$5="A",Inputs_Actuals!R27,Q27*(1-Assumptions!$C$116*Assumptions!$F$169+Assumptions!$C$118*Assumptions!$F$171-Assumptions!$C$119*Assumptions!$F$169)*(1+Assumptions!R$198))</f>
        <v>3424.38434777861</v>
      </c>
      <c r="S27" s="65" t="n">
        <f aca="false">IF(S$5="A",Inputs_Actuals!S27,R27*(1-Assumptions!$C$116*Assumptions!$F$169+Assumptions!$C$118*Assumptions!$F$171-Assumptions!$C$119*Assumptions!$F$169)*(1+Assumptions!S$198))</f>
        <v>3382.94929717049</v>
      </c>
      <c r="T27" s="65" t="n">
        <f aca="false">IF(T$5="A",Inputs_Actuals!T27,S27*(1-Assumptions!$C$116*Assumptions!$F$169+Assumptions!$C$118*Assumptions!$F$171-Assumptions!$C$119*Assumptions!$F$169)*(1+Assumptions!T$198))</f>
        <v>3342.01561067472</v>
      </c>
      <c r="U27" s="65" t="n">
        <f aca="false">IF(U$5="A",Inputs_Actuals!U27,T27*(1-Assumptions!$C$116*Assumptions!$F$169+Assumptions!$C$118*Assumptions!$F$171-Assumptions!$C$119*Assumptions!$F$169)*(1+Assumptions!U$198))</f>
        <v>3301.57722178556</v>
      </c>
      <c r="V27" s="65" t="n">
        <f aca="false">IF(V$5="A",Inputs_Actuals!V27,U27*(1-Assumptions!$C$116*Assumptions!$F$169+Assumptions!$C$118*Assumptions!$F$171-Assumptions!$C$119*Assumptions!$F$169)*(1+Assumptions!V$198))</f>
        <v>3261.62813740195</v>
      </c>
      <c r="W27" s="65" t="n">
        <f aca="false">IF(W$5="A",Inputs_Actuals!W27,V27*(1-Assumptions!$C$116*Assumptions!$F$169+Assumptions!$C$118*Assumptions!$F$171-Assumptions!$C$119*Assumptions!$F$169)*(1+Assumptions!W$198))</f>
        <v>3222.16243693939</v>
      </c>
      <c r="X27" s="65" t="n">
        <f aca="false">IF(X$5="A",Inputs_Actuals!X27,W27*(1-Assumptions!$C$116*Assumptions!$F$169+Assumptions!$C$118*Assumptions!$F$171-Assumptions!$C$119*Assumptions!$F$169)*(1+Assumptions!X$198))</f>
        <v>3183.17427145242</v>
      </c>
      <c r="Y27" s="65" t="n">
        <f aca="false">IF(Y$5="A",Inputs_Actuals!Y27,X27*(1-Assumptions!$C$116*Assumptions!$F$169+Assumptions!$C$118*Assumptions!$F$171-Assumptions!$C$119*Assumptions!$F$169)*(1+Assumptions!Y$198))</f>
        <v>3144.65786276785</v>
      </c>
      <c r="Z27" s="65" t="n">
        <f aca="false">IF(Z$5="A",Inputs_Actuals!Z27,Y27*(1-Assumptions!$C$116*Assumptions!$F$169+Assumptions!$C$118*Assumptions!$F$171-Assumptions!$C$119*Assumptions!$F$169)*(1+Assumptions!Z$198))</f>
        <v>3106.60750262836</v>
      </c>
      <c r="AA27" s="65" t="n">
        <f aca="false">IF(AA$5="A",Inputs_Actuals!AA27,Z27*(1-Assumptions!$C$116*Assumptions!$F$169+Assumptions!$C$118*Assumptions!$F$171-Assumptions!$C$119*Assumptions!$F$169)*(1+Assumptions!AA$198))</f>
        <v>3069.01755184656</v>
      </c>
      <c r="AB27" s="65" t="n">
        <f aca="false">IF(AB$5="A",Inputs_Actuals!AB27,AA27*(1-Assumptions!$C$116*Assumptions!$F$169+Assumptions!$C$118*Assumptions!$F$171-Assumptions!$C$119*Assumptions!$F$169)*(1+Assumptions!AB$198))</f>
        <v>3031.88243946921</v>
      </c>
    </row>
    <row r="28" customFormat="false" ht="15" hidden="false" customHeight="false" outlineLevel="0" collapsed="false">
      <c r="A28" s="28" t="s">
        <v>891</v>
      </c>
      <c r="B28" s="63" t="s">
        <v>872</v>
      </c>
      <c r="C28" s="64" t="n">
        <f aca="false">P28</f>
        <v>4272.7104811192</v>
      </c>
      <c r="D28" s="64" t="n">
        <f aca="false">AB28</f>
        <v>3876.57856684967</v>
      </c>
      <c r="E28" s="65" t="n">
        <f aca="false">IF(E$5="A",Inputs_Actuals!E28,History!$E$67*(1-Assumptions!$C$114*Assumptions!$F$169+Assumptions!$C$118*Assumptions!$F$171-Assumptions!$C$119*Assumptions!$F$169)*(1+Assumptions!E$198))</f>
        <v>5132.45</v>
      </c>
      <c r="F28" s="65" t="n">
        <f aca="false">IF(F$5="A",Inputs_Actuals!F28,E28*(1-Assumptions!$C$114*Assumptions!$F$169+Assumptions!$C$118*Assumptions!$F$171-Assumptions!$C$119*Assumptions!$F$169)*(1+Assumptions!F$198))</f>
        <v>4965.19</v>
      </c>
      <c r="G28" s="65" t="n">
        <f aca="false">IF(G$5="A",Inputs_Actuals!G28,F28*(1-Assumptions!$C$114*Assumptions!$F$169+Assumptions!$C$118*Assumptions!$F$171-Assumptions!$C$119*Assumptions!$F$169)*(1+Assumptions!G$198))</f>
        <v>5000.09</v>
      </c>
      <c r="H28" s="65" t="n">
        <f aca="false">IF(H$5="A",Inputs_Actuals!H28,G28*(1-Assumptions!$C$114*Assumptions!$F$169+Assumptions!$C$118*Assumptions!$F$171-Assumptions!$C$119*Assumptions!$F$169)*(1+Assumptions!H$198))</f>
        <v>4803.86</v>
      </c>
      <c r="I28" s="65" t="n">
        <f aca="false">IF(I$5="A",Inputs_Actuals!I28,H28*(1-Assumptions!$C$114*Assumptions!$F$169+Assumptions!$C$118*Assumptions!$F$171-Assumptions!$C$119*Assumptions!$F$169)*(1+Assumptions!I$198))</f>
        <v>4630.87</v>
      </c>
      <c r="J28" s="65" t="n">
        <f aca="false">IF(J$5="A",Inputs_Actuals!J28,I28*(1-Assumptions!$C$114*Assumptions!$F$169+Assumptions!$C$118*Assumptions!$F$171-Assumptions!$C$119*Assumptions!$F$169)*(1+Assumptions!J$198))</f>
        <v>4455.9</v>
      </c>
      <c r="K28" s="65" t="n">
        <f aca="false">IF(K$5="A",Inputs_Actuals!K28,J28*(1-Assumptions!$C$114*Assumptions!$F$169+Assumptions!$C$118*Assumptions!$F$171-Assumptions!$C$119*Assumptions!$F$169)*(1+Assumptions!K$198))</f>
        <v>4464.73</v>
      </c>
      <c r="L28" s="65" t="n">
        <f aca="false">IF(L$5="A",Inputs_Actuals!L28,K28*(1-Assumptions!$C$116*Assumptions!$F$169+Assumptions!$C$118*Assumptions!$F$171-Assumptions!$C$119*Assumptions!$F$169)*(1+Assumptions!L$198))</f>
        <v>4485.92</v>
      </c>
      <c r="M28" s="65" t="n">
        <f aca="false">IF(M$5="A",Inputs_Actuals!M28,L28*(1-Assumptions!$C$116*Assumptions!$F$169+Assumptions!$C$118*Assumptions!$F$171-Assumptions!$C$119*Assumptions!$F$169)*(1+Assumptions!M$198))</f>
        <v>4431.640368</v>
      </c>
      <c r="N28" s="65" t="n">
        <f aca="false">IF(N$5="A",Inputs_Actuals!N28,M28*(1-Assumptions!$C$116*Assumptions!$F$169+Assumptions!$C$118*Assumptions!$F$171-Assumptions!$C$119*Assumptions!$F$169)*(1+Assumptions!N$198))</f>
        <v>4378.0175195472</v>
      </c>
      <c r="O28" s="65" t="n">
        <f aca="false">IF(O$5="A",Inputs_Actuals!O28,N28*(1-Assumptions!$C$116*Assumptions!$F$169+Assumptions!$C$118*Assumptions!$F$171-Assumptions!$C$119*Assumptions!$F$169)*(1+Assumptions!O$198))</f>
        <v>4325.04350756068</v>
      </c>
      <c r="P28" s="65" t="n">
        <f aca="false">IF(P$5="A",Inputs_Actuals!P28,O28*(1-Assumptions!$C$116*Assumptions!$F$169+Assumptions!$C$118*Assumptions!$F$171-Assumptions!$C$119*Assumptions!$F$169)*(1+Assumptions!P$198))</f>
        <v>4272.7104811192</v>
      </c>
      <c r="Q28" s="65" t="n">
        <f aca="false">IF(Q$5="A",Inputs_Actuals!Q28,P28*(1-Assumptions!$C$116*Assumptions!$F$169+Assumptions!$C$118*Assumptions!$F$171-Assumptions!$C$119*Assumptions!$F$169)*(1+Assumptions!Q$198))</f>
        <v>4432.06121851254</v>
      </c>
      <c r="R28" s="65" t="n">
        <f aca="false">IF(R$5="A",Inputs_Actuals!R28,Q28*(1-Assumptions!$C$116*Assumptions!$F$169+Assumptions!$C$118*Assumptions!$F$171-Assumptions!$C$119*Assumptions!$F$169)*(1+Assumptions!R$198))</f>
        <v>4378.43327776853</v>
      </c>
      <c r="S28" s="65" t="n">
        <f aca="false">IF(S$5="A",Inputs_Actuals!S28,R28*(1-Assumptions!$C$116*Assumptions!$F$169+Assumptions!$C$118*Assumptions!$F$171-Assumptions!$C$119*Assumptions!$F$169)*(1+Assumptions!S$198))</f>
        <v>4325.45423510754</v>
      </c>
      <c r="T28" s="65" t="n">
        <f aca="false">IF(T$5="A",Inputs_Actuals!T28,S28*(1-Assumptions!$C$116*Assumptions!$F$169+Assumptions!$C$118*Assumptions!$F$171-Assumptions!$C$119*Assumptions!$F$169)*(1+Assumptions!T$198))</f>
        <v>4273.11623886273</v>
      </c>
      <c r="U28" s="65" t="n">
        <f aca="false">IF(U$5="A",Inputs_Actuals!U28,T28*(1-Assumptions!$C$116*Assumptions!$F$169+Assumptions!$C$118*Assumptions!$F$171-Assumptions!$C$119*Assumptions!$F$169)*(1+Assumptions!U$198))</f>
        <v>4221.4115323725</v>
      </c>
      <c r="V28" s="65" t="n">
        <f aca="false">IF(V$5="A",Inputs_Actuals!V28,U28*(1-Assumptions!$C$116*Assumptions!$F$169+Assumptions!$C$118*Assumptions!$F$171-Assumptions!$C$119*Assumptions!$F$169)*(1+Assumptions!V$198))</f>
        <v>4170.33245283079</v>
      </c>
      <c r="W28" s="65" t="n">
        <f aca="false">IF(W$5="A",Inputs_Actuals!W28,V28*(1-Assumptions!$C$116*Assumptions!$F$169+Assumptions!$C$118*Assumptions!$F$171-Assumptions!$C$119*Assumptions!$F$169)*(1+Assumptions!W$198))</f>
        <v>4119.87143015154</v>
      </c>
      <c r="X28" s="65" t="n">
        <f aca="false">IF(X$5="A",Inputs_Actuals!X28,W28*(1-Assumptions!$C$116*Assumptions!$F$169+Assumptions!$C$118*Assumptions!$F$171-Assumptions!$C$119*Assumptions!$F$169)*(1+Assumptions!X$198))</f>
        <v>4070.0209858467</v>
      </c>
      <c r="Y28" s="65" t="n">
        <f aca="false">IF(Y$5="A",Inputs_Actuals!Y28,X28*(1-Assumptions!$C$116*Assumptions!$F$169+Assumptions!$C$118*Assumptions!$F$171-Assumptions!$C$119*Assumptions!$F$169)*(1+Assumptions!Y$198))</f>
        <v>4020.77373191796</v>
      </c>
      <c r="Z28" s="65" t="n">
        <f aca="false">IF(Z$5="A",Inputs_Actuals!Z28,Y28*(1-Assumptions!$C$116*Assumptions!$F$169+Assumptions!$C$118*Assumptions!$F$171-Assumptions!$C$119*Assumptions!$F$169)*(1+Assumptions!Z$198))</f>
        <v>3972.12236976175</v>
      </c>
      <c r="AA28" s="65" t="n">
        <f aca="false">IF(AA$5="A",Inputs_Actuals!AA28,Z28*(1-Assumptions!$C$116*Assumptions!$F$169+Assumptions!$C$118*Assumptions!$F$171-Assumptions!$C$119*Assumptions!$F$169)*(1+Assumptions!AA$198))</f>
        <v>3924.05968908763</v>
      </c>
      <c r="AB28" s="65" t="n">
        <f aca="false">IF(AB$5="A",Inputs_Actuals!AB28,AA28*(1-Assumptions!$C$116*Assumptions!$F$169+Assumptions!$C$118*Assumptions!$F$171-Assumptions!$C$119*Assumptions!$F$169)*(1+Assumptions!AB$198))</f>
        <v>3876.57856684967</v>
      </c>
    </row>
    <row r="29" customFormat="false" ht="15" hidden="false" customHeight="false" outlineLevel="0" collapsed="false">
      <c r="A29" s="28" t="s">
        <v>892</v>
      </c>
      <c r="B29" s="63" t="s">
        <v>872</v>
      </c>
      <c r="C29" s="64" t="n">
        <f aca="false">P29</f>
        <v>3000.35156785211</v>
      </c>
      <c r="D29" s="64" t="n">
        <f aca="false">AB29</f>
        <v>2722.18270635146</v>
      </c>
      <c r="E29" s="65" t="n">
        <f aca="false">IF(E$5="A",Inputs_Actuals!E29,History!$E$68*(1-Assumptions!$C$114*Assumptions!$F$169+Assumptions!$C$118*Assumptions!$F$171-Assumptions!$C$119*Assumptions!$F$169)*(1+Assumptions!E$198))</f>
        <v>3803.12</v>
      </c>
      <c r="F29" s="65" t="n">
        <f aca="false">IF(F$5="A",Inputs_Actuals!F29,E29*(1-Assumptions!$C$114*Assumptions!$F$169+Assumptions!$C$118*Assumptions!$F$171-Assumptions!$C$119*Assumptions!$F$169)*(1+Assumptions!F$198))</f>
        <v>3631.91</v>
      </c>
      <c r="G29" s="65" t="n">
        <f aca="false">IF(G$5="A",Inputs_Actuals!G29,F29*(1-Assumptions!$C$114*Assumptions!$F$169+Assumptions!$C$118*Assumptions!$F$171-Assumptions!$C$119*Assumptions!$F$169)*(1+Assumptions!G$198))</f>
        <v>3653.31</v>
      </c>
      <c r="H29" s="65" t="n">
        <f aca="false">IF(H$5="A",Inputs_Actuals!H29,G29*(1-Assumptions!$C$114*Assumptions!$F$169+Assumptions!$C$118*Assumptions!$F$171-Assumptions!$C$119*Assumptions!$F$169)*(1+Assumptions!H$198))</f>
        <v>3677.36</v>
      </c>
      <c r="I29" s="65" t="n">
        <f aca="false">IF(I$5="A",Inputs_Actuals!I29,H29*(1-Assumptions!$C$114*Assumptions!$F$169+Assumptions!$C$118*Assumptions!$F$171-Assumptions!$C$119*Assumptions!$F$169)*(1+Assumptions!I$198))</f>
        <v>3722.68</v>
      </c>
      <c r="J29" s="65" t="n">
        <f aca="false">IF(J$5="A",Inputs_Actuals!J29,I29*(1-Assumptions!$C$114*Assumptions!$F$169+Assumptions!$C$118*Assumptions!$F$171-Assumptions!$C$119*Assumptions!$F$169)*(1+Assumptions!J$198))</f>
        <v>3536.77</v>
      </c>
      <c r="K29" s="65" t="n">
        <f aca="false">IF(K$5="A",Inputs_Actuals!K29,J29*(1-Assumptions!$C$114*Assumptions!$F$169+Assumptions!$C$118*Assumptions!$F$171-Assumptions!$C$119*Assumptions!$F$169)*(1+Assumptions!K$198))</f>
        <v>3343.29</v>
      </c>
      <c r="L29" s="65" t="n">
        <f aca="false">IF(L$5="A",Inputs_Actuals!L29,K29*(1-Assumptions!$C$114*Assumptions!$F$169+Assumptions!$C$118*Assumptions!$F$171-Assumptions!$C$119*Assumptions!$F$169)*(1+Assumptions!L$198))</f>
        <v>3150.07</v>
      </c>
      <c r="M29" s="65" t="n">
        <f aca="false">IF(M$5="A",Inputs_Actuals!M29,L29*(1-Assumptions!$C$116*Assumptions!$F$169+Assumptions!$C$118*Assumptions!$F$171-Assumptions!$C$119*Assumptions!$F$169)*(1+Assumptions!M$198))</f>
        <v>3111.954153</v>
      </c>
      <c r="N29" s="65" t="n">
        <f aca="false">IF(N$5="A",Inputs_Actuals!N29,M29*(1-Assumptions!$C$116*Assumptions!$F$169+Assumptions!$C$118*Assumptions!$F$171-Assumptions!$C$119*Assumptions!$F$169)*(1+Assumptions!N$198))</f>
        <v>3074.2995077487</v>
      </c>
      <c r="O29" s="65" t="n">
        <f aca="false">IF(O$5="A",Inputs_Actuals!O29,N29*(1-Assumptions!$C$116*Assumptions!$F$169+Assumptions!$C$118*Assumptions!$F$171-Assumptions!$C$119*Assumptions!$F$169)*(1+Assumptions!O$198))</f>
        <v>3037.10048370494</v>
      </c>
      <c r="P29" s="65" t="n">
        <f aca="false">IF(P$5="A",Inputs_Actuals!P29,O29*(1-Assumptions!$C$116*Assumptions!$F$169+Assumptions!$C$118*Assumptions!$F$171-Assumptions!$C$119*Assumptions!$F$169)*(1+Assumptions!P$198))</f>
        <v>3000.35156785211</v>
      </c>
      <c r="Q29" s="65" t="n">
        <f aca="false">IF(Q$5="A",Inputs_Actuals!Q29,P29*(1-Assumptions!$C$116*Assumptions!$F$169+Assumptions!$C$118*Assumptions!$F$171-Assumptions!$C$119*Assumptions!$F$169)*(1+Assumptions!Q$198))</f>
        <v>3112.24967957516</v>
      </c>
      <c r="R29" s="65" t="n">
        <f aca="false">IF(R$5="A",Inputs_Actuals!R29,Q29*(1-Assumptions!$C$116*Assumptions!$F$169+Assumptions!$C$118*Assumptions!$F$171-Assumptions!$C$119*Assumptions!$F$169)*(1+Assumptions!R$198))</f>
        <v>3074.5914584523</v>
      </c>
      <c r="S29" s="65" t="n">
        <f aca="false">IF(S$5="A",Inputs_Actuals!S29,R29*(1-Assumptions!$C$116*Assumptions!$F$169+Assumptions!$C$118*Assumptions!$F$171-Assumptions!$C$119*Assumptions!$F$169)*(1+Assumptions!S$198))</f>
        <v>3037.38890180502</v>
      </c>
      <c r="T29" s="65" t="n">
        <f aca="false">IF(T$5="A",Inputs_Actuals!T29,S29*(1-Assumptions!$C$116*Assumptions!$F$169+Assumptions!$C$118*Assumptions!$F$171-Assumptions!$C$119*Assumptions!$F$169)*(1+Assumptions!T$198))</f>
        <v>3000.63649609318</v>
      </c>
      <c r="U29" s="65" t="n">
        <f aca="false">IF(U$5="A",Inputs_Actuals!U29,T29*(1-Assumptions!$C$116*Assumptions!$F$169+Assumptions!$C$118*Assumptions!$F$171-Assumptions!$C$119*Assumptions!$F$169)*(1+Assumptions!U$198))</f>
        <v>2964.32879449046</v>
      </c>
      <c r="V29" s="65" t="n">
        <f aca="false">IF(V$5="A",Inputs_Actuals!V29,U29*(1-Assumptions!$C$116*Assumptions!$F$169+Assumptions!$C$118*Assumptions!$F$171-Assumptions!$C$119*Assumptions!$F$169)*(1+Assumptions!V$198))</f>
        <v>2928.46041607712</v>
      </c>
      <c r="W29" s="65" t="n">
        <f aca="false">IF(W$5="A",Inputs_Actuals!W29,V29*(1-Assumptions!$C$116*Assumptions!$F$169+Assumptions!$C$118*Assumptions!$F$171-Assumptions!$C$119*Assumptions!$F$169)*(1+Assumptions!W$198))</f>
        <v>2893.02604504259</v>
      </c>
      <c r="X29" s="65" t="n">
        <f aca="false">IF(X$5="A",Inputs_Actuals!X29,W29*(1-Assumptions!$C$116*Assumptions!$F$169+Assumptions!$C$118*Assumptions!$F$171-Assumptions!$C$119*Assumptions!$F$169)*(1+Assumptions!X$198))</f>
        <v>2858.02042989757</v>
      </c>
      <c r="Y29" s="65" t="n">
        <f aca="false">IF(Y$5="A",Inputs_Actuals!Y29,X29*(1-Assumptions!$C$116*Assumptions!$F$169+Assumptions!$C$118*Assumptions!$F$171-Assumptions!$C$119*Assumptions!$F$169)*(1+Assumptions!Y$198))</f>
        <v>2823.43838269581</v>
      </c>
      <c r="Z29" s="65" t="n">
        <f aca="false">IF(Z$5="A",Inputs_Actuals!Z29,Y29*(1-Assumptions!$C$116*Assumptions!$F$169+Assumptions!$C$118*Assumptions!$F$171-Assumptions!$C$119*Assumptions!$F$169)*(1+Assumptions!Z$198))</f>
        <v>2789.27477826519</v>
      </c>
      <c r="AA29" s="65" t="n">
        <f aca="false">IF(AA$5="A",Inputs_Actuals!AA29,Z29*(1-Assumptions!$C$116*Assumptions!$F$169+Assumptions!$C$118*Assumptions!$F$171-Assumptions!$C$119*Assumptions!$F$169)*(1+Assumptions!AA$198))</f>
        <v>2755.52455344818</v>
      </c>
      <c r="AB29" s="65" t="n">
        <f aca="false">IF(AB$5="A",Inputs_Actuals!AB29,AA29*(1-Assumptions!$C$116*Assumptions!$F$169+Assumptions!$C$118*Assumptions!$F$171-Assumptions!$C$119*Assumptions!$F$169)*(1+Assumptions!AB$198))</f>
        <v>2722.18270635146</v>
      </c>
    </row>
    <row r="30" customFormat="false" ht="15" hidden="false" customHeight="false" outlineLevel="0" collapsed="false">
      <c r="A30" s="28" t="s">
        <v>893</v>
      </c>
      <c r="B30" s="63" t="s">
        <v>872</v>
      </c>
      <c r="C30" s="64" t="n">
        <f aca="false">P30</f>
        <v>732.419164578613</v>
      </c>
      <c r="D30" s="64" t="n">
        <f aca="false">AB30</f>
        <v>664.515053828705</v>
      </c>
      <c r="E30" s="65" t="n">
        <f aca="false">IF(E$5="A",Inputs_Actuals!E30,History!$E$69*(1-Assumptions!$C$114*Assumptions!$F$169+Assumptions!$C$118*Assumptions!$F$171-Assumptions!$C$119*Assumptions!$F$169)*(1+Assumptions!E$198))</f>
        <v>939.5</v>
      </c>
      <c r="F30" s="65" t="n">
        <f aca="false">IF(F$5="A",Inputs_Actuals!F30,E30*(1-Assumptions!$C$114*Assumptions!$F$169+Assumptions!$C$118*Assumptions!$F$171-Assumptions!$C$119*Assumptions!$F$169)*(1+Assumptions!F$198))</f>
        <v>942.08</v>
      </c>
      <c r="G30" s="65" t="n">
        <f aca="false">IF(G$5="A",Inputs_Actuals!G30,F30*(1-Assumptions!$C$114*Assumptions!$F$169+Assumptions!$C$118*Assumptions!$F$171-Assumptions!$C$119*Assumptions!$F$169)*(1+Assumptions!G$198))</f>
        <v>948.83</v>
      </c>
      <c r="H30" s="65" t="n">
        <f aca="false">IF(H$5="A",Inputs_Actuals!H30,G30*(1-Assumptions!$C$114*Assumptions!$F$169+Assumptions!$C$118*Assumptions!$F$171-Assumptions!$C$119*Assumptions!$F$169)*(1+Assumptions!H$198))</f>
        <v>958.28</v>
      </c>
      <c r="I30" s="65" t="n">
        <f aca="false">IF(I$5="A",Inputs_Actuals!I30,H30*(1-Assumptions!$C$114*Assumptions!$F$169+Assumptions!$C$118*Assumptions!$F$171-Assumptions!$C$119*Assumptions!$F$169)*(1+Assumptions!I$198))</f>
        <v>762.24</v>
      </c>
      <c r="J30" s="65" t="n">
        <f aca="false">IF(J$5="A",Inputs_Actuals!J30,I30*(1-Assumptions!$C$114*Assumptions!$F$169+Assumptions!$C$118*Assumptions!$F$171-Assumptions!$C$119*Assumptions!$F$169)*(1+Assumptions!J$198))</f>
        <v>768.85</v>
      </c>
      <c r="K30" s="65" t="n">
        <f aca="false">IF(K$5="A",Inputs_Actuals!K30,J30*(1-Assumptions!$C$114*Assumptions!$F$169+Assumptions!$C$118*Assumptions!$F$171-Assumptions!$C$119*Assumptions!$F$169)*(1+Assumptions!K$198))</f>
        <v>772.6</v>
      </c>
      <c r="L30" s="65" t="n">
        <f aca="false">IF(L$5="A",Inputs_Actuals!L30,K30*(1-Assumptions!$C$114*Assumptions!$F$169+Assumptions!$C$118*Assumptions!$F$171-Assumptions!$C$119*Assumptions!$F$169)*(1+Assumptions!L$198))</f>
        <v>775.72</v>
      </c>
      <c r="M30" s="65" t="n">
        <f aca="false">IF(M$5="A",Inputs_Actuals!M30,L30*(1-Assumptions!$C$114*Assumptions!$F$169+Assumptions!$C$118*Assumptions!$F$171-Assumptions!$C$119*Assumptions!$F$169)*(1+Assumptions!M$198))</f>
        <v>759.662596</v>
      </c>
      <c r="N30" s="65" t="n">
        <f aca="false">IF(N$5="A",Inputs_Actuals!N30,M30*(1-Assumptions!$C$116*Assumptions!$F$169+Assumptions!$C$118*Assumptions!$F$171-Assumptions!$C$119*Assumptions!$F$169)*(1+Assumptions!N$198))</f>
        <v>750.4706785884</v>
      </c>
      <c r="O30" s="65" t="n">
        <f aca="false">IF(O$5="A",Inputs_Actuals!O30,N30*(1-Assumptions!$C$116*Assumptions!$F$169+Assumptions!$C$118*Assumptions!$F$171-Assumptions!$C$119*Assumptions!$F$169)*(1+Assumptions!O$198))</f>
        <v>741.389983377481</v>
      </c>
      <c r="P30" s="65" t="n">
        <f aca="false">IF(P$5="A",Inputs_Actuals!P30,O30*(1-Assumptions!$C$116*Assumptions!$F$169+Assumptions!$C$118*Assumptions!$F$171-Assumptions!$C$119*Assumptions!$F$169)*(1+Assumptions!P$198))</f>
        <v>732.419164578613</v>
      </c>
      <c r="Q30" s="65" t="n">
        <f aca="false">IF(Q$5="A",Inputs_Actuals!Q30,P30*(1-Assumptions!$C$116*Assumptions!$F$169+Assumptions!$C$118*Assumptions!$F$171-Assumptions!$C$119*Assumptions!$F$169)*(1+Assumptions!Q$198))</f>
        <v>759.734737321572</v>
      </c>
      <c r="R30" s="65" t="n">
        <f aca="false">IF(R$5="A",Inputs_Actuals!R30,Q30*(1-Assumptions!$C$116*Assumptions!$F$169+Assumptions!$C$118*Assumptions!$F$171-Assumptions!$C$119*Assumptions!$F$169)*(1+Assumptions!R$198))</f>
        <v>750.541946999981</v>
      </c>
      <c r="S30" s="65" t="n">
        <f aca="false">IF(S$5="A",Inputs_Actuals!S30,R30*(1-Assumptions!$C$116*Assumptions!$F$169+Assumptions!$C$118*Assumptions!$F$171-Assumptions!$C$119*Assumptions!$F$169)*(1+Assumptions!S$198))</f>
        <v>741.460389441282</v>
      </c>
      <c r="T30" s="65" t="n">
        <f aca="false">IF(T$5="A",Inputs_Actuals!T30,S30*(1-Assumptions!$C$116*Assumptions!$F$169+Assumptions!$C$118*Assumptions!$F$171-Assumptions!$C$119*Assumptions!$F$169)*(1+Assumptions!T$198))</f>
        <v>732.488718729042</v>
      </c>
      <c r="U30" s="65" t="n">
        <f aca="false">IF(U$5="A",Inputs_Actuals!U30,T30*(1-Assumptions!$C$116*Assumptions!$F$169+Assumptions!$C$118*Assumptions!$F$171-Assumptions!$C$119*Assumptions!$F$169)*(1+Assumptions!U$198))</f>
        <v>723.625605232421</v>
      </c>
      <c r="V30" s="65" t="n">
        <f aca="false">IF(V$5="A",Inputs_Actuals!V30,U30*(1-Assumptions!$C$116*Assumptions!$F$169+Assumptions!$C$118*Assumptions!$F$171-Assumptions!$C$119*Assumptions!$F$169)*(1+Assumptions!V$198))</f>
        <v>714.869735409108</v>
      </c>
      <c r="W30" s="65" t="n">
        <f aca="false">IF(W$5="A",Inputs_Actuals!W30,V30*(1-Assumptions!$C$116*Assumptions!$F$169+Assumptions!$C$118*Assumptions!$F$171-Assumptions!$C$119*Assumptions!$F$169)*(1+Assumptions!W$198))</f>
        <v>706.219811610658</v>
      </c>
      <c r="X30" s="65" t="n">
        <f aca="false">IF(X$5="A",Inputs_Actuals!X30,W30*(1-Assumptions!$C$116*Assumptions!$F$169+Assumptions!$C$118*Assumptions!$F$171-Assumptions!$C$119*Assumptions!$F$169)*(1+Assumptions!X$198))</f>
        <v>697.674551890169</v>
      </c>
      <c r="Y30" s="65" t="n">
        <f aca="false">IF(Y$5="A",Inputs_Actuals!Y30,X30*(1-Assumptions!$C$116*Assumptions!$F$169+Assumptions!$C$118*Assumptions!$F$171-Assumptions!$C$119*Assumptions!$F$169)*(1+Assumptions!Y$198))</f>
        <v>689.232689812298</v>
      </c>
      <c r="Z30" s="65" t="n">
        <f aca="false">IF(Z$5="A",Inputs_Actuals!Z30,Y30*(1-Assumptions!$C$116*Assumptions!$F$169+Assumptions!$C$118*Assumptions!$F$171-Assumptions!$C$119*Assumptions!$F$169)*(1+Assumptions!Z$198))</f>
        <v>680.892974265569</v>
      </c>
      <c r="AA30" s="65" t="n">
        <f aca="false">IF(AA$5="A",Inputs_Actuals!AA30,Z30*(1-Assumptions!$C$116*Assumptions!$F$169+Assumptions!$C$118*Assumptions!$F$171-Assumptions!$C$119*Assumptions!$F$169)*(1+Assumptions!AA$198))</f>
        <v>672.654169276956</v>
      </c>
      <c r="AB30" s="65" t="n">
        <f aca="false">IF(AB$5="A",Inputs_Actuals!AB30,AA30*(1-Assumptions!$C$116*Assumptions!$F$169+Assumptions!$C$118*Assumptions!$F$171-Assumptions!$C$119*Assumptions!$F$169)*(1+Assumptions!AB$198))</f>
        <v>664.515053828705</v>
      </c>
    </row>
    <row r="31" customFormat="false" ht="15" hidden="false" customHeight="false" outlineLevel="0" collapsed="false">
      <c r="A31" s="28" t="s">
        <v>894</v>
      </c>
      <c r="B31" s="63" t="s">
        <v>872</v>
      </c>
      <c r="C31" s="64" t="n">
        <f aca="false">P31</f>
        <v>4512.58337232548</v>
      </c>
      <c r="D31" s="64" t="n">
        <f aca="false">AB31</f>
        <v>4094.21234122489</v>
      </c>
      <c r="E31" s="65" t="n">
        <f aca="false">IF(E$5="A",Inputs_Actuals!E31,History!$E$70*(1-Assumptions!$C$112*Assumptions!$F$169+Assumptions!$C$118*Assumptions!$F$171-Assumptions!$C$119*Assumptions!$F$169)*(1+Assumptions!E$198))</f>
        <v>5735.75</v>
      </c>
      <c r="F31" s="65" t="n">
        <f aca="false">IF(F$5="A",Inputs_Actuals!F31,E31*(1-Assumptions!$C$114*Assumptions!$F$169+Assumptions!$C$118*Assumptions!$F$171-Assumptions!$C$119*Assumptions!$F$169)*(1+Assumptions!F$198))</f>
        <v>5578.48</v>
      </c>
      <c r="G31" s="65" t="n">
        <f aca="false">IF(G$5="A",Inputs_Actuals!G31,F31*(1-Assumptions!$C$114*Assumptions!$F$169+Assumptions!$C$118*Assumptions!$F$171-Assumptions!$C$119*Assumptions!$F$169)*(1+Assumptions!G$198))</f>
        <v>5610.87</v>
      </c>
      <c r="H31" s="65" t="n">
        <f aca="false">IF(H$5="A",Inputs_Actuals!H31,G31*(1-Assumptions!$C$114*Assumptions!$F$169+Assumptions!$C$118*Assumptions!$F$171-Assumptions!$C$119*Assumptions!$F$169)*(1+Assumptions!H$198))</f>
        <v>5652.29</v>
      </c>
      <c r="I31" s="65" t="n">
        <f aca="false">IF(I$5="A",Inputs_Actuals!I31,H31*(1-Assumptions!$C$114*Assumptions!$F$169+Assumptions!$C$118*Assumptions!$F$171-Assumptions!$C$119*Assumptions!$F$169)*(1+Assumptions!I$198))</f>
        <v>5526.74</v>
      </c>
      <c r="J31" s="65" t="n">
        <f aca="false">IF(J$5="A",Inputs_Actuals!J31,I31*(1-Assumptions!$C$114*Assumptions!$F$169+Assumptions!$C$118*Assumptions!$F$171-Assumptions!$C$119*Assumptions!$F$169)*(1+Assumptions!J$198))</f>
        <v>5336.39</v>
      </c>
      <c r="K31" s="65" t="n">
        <f aca="false">IF(K$5="A",Inputs_Actuals!K31,J31*(1-Assumptions!$C$114*Assumptions!$F$169+Assumptions!$C$118*Assumptions!$F$171-Assumptions!$C$119*Assumptions!$F$169)*(1+Assumptions!K$198))</f>
        <v>5198.39</v>
      </c>
      <c r="L31" s="65" t="n">
        <f aca="false">IF(L$5="A",Inputs_Actuals!L31,K31*(1-Assumptions!$C$114*Assumptions!$F$169+Assumptions!$C$118*Assumptions!$F$171-Assumptions!$C$119*Assumptions!$F$169)*(1+Assumptions!L$198))</f>
        <v>4821.34</v>
      </c>
      <c r="M31" s="65" t="n">
        <f aca="false">IF(M$5="A",Inputs_Actuals!M31,L31*(1-Assumptions!$C$114*Assumptions!$F$169+Assumptions!$C$118*Assumptions!$F$171-Assumptions!$C$119*Assumptions!$F$169)*(1+Assumptions!M$198))</f>
        <v>4721.538262</v>
      </c>
      <c r="N31" s="65" t="n">
        <f aca="false">IF(N$5="A",Inputs_Actuals!N31,M31*(1-Assumptions!$C$114*Assumptions!$F$169+Assumptions!$C$118*Assumptions!$F$171-Assumptions!$C$119*Assumptions!$F$169)*(1+Assumptions!N$198))</f>
        <v>4623.8024199766</v>
      </c>
      <c r="O31" s="65" t="n">
        <f aca="false">IF(O$5="A",Inputs_Actuals!O31,N31*(1-Assumptions!$C$116*Assumptions!$F$169+Assumptions!$C$118*Assumptions!$F$171-Assumptions!$C$119*Assumptions!$F$169)*(1+Assumptions!O$198))</f>
        <v>4567.85441069488</v>
      </c>
      <c r="P31" s="65" t="n">
        <f aca="false">IF(P$5="A",Inputs_Actuals!P31,O31*(1-Assumptions!$C$116*Assumptions!$F$169+Assumptions!$C$118*Assumptions!$F$171-Assumptions!$C$119*Assumptions!$F$169)*(1+Assumptions!P$198))</f>
        <v>4512.58337232548</v>
      </c>
      <c r="Q31" s="65" t="n">
        <f aca="false">IF(Q$5="A",Inputs_Actuals!Q31,P31*(1-Assumptions!$C$116*Assumptions!$F$169+Assumptions!$C$118*Assumptions!$F$171-Assumptions!$C$119*Assumptions!$F$169)*(1+Assumptions!Q$198))</f>
        <v>4680.88016919635</v>
      </c>
      <c r="R31" s="65" t="n">
        <f aca="false">IF(R$5="A",Inputs_Actuals!R31,Q31*(1-Assumptions!$C$116*Assumptions!$F$169+Assumptions!$C$118*Assumptions!$F$171-Assumptions!$C$119*Assumptions!$F$169)*(1+Assumptions!R$198))</f>
        <v>4624.24151914908</v>
      </c>
      <c r="S31" s="65" t="n">
        <f aca="false">IF(S$5="A",Inputs_Actuals!S31,R31*(1-Assumptions!$C$116*Assumptions!$F$169+Assumptions!$C$118*Assumptions!$F$171-Assumptions!$C$119*Assumptions!$F$169)*(1+Assumptions!S$198))</f>
        <v>4568.28819676738</v>
      </c>
      <c r="T31" s="65" t="n">
        <f aca="false">IF(T$5="A",Inputs_Actuals!T31,S31*(1-Assumptions!$C$116*Assumptions!$F$169+Assumptions!$C$118*Assumptions!$F$171-Assumptions!$C$119*Assumptions!$F$169)*(1+Assumptions!T$198))</f>
        <v>4513.01190958649</v>
      </c>
      <c r="U31" s="65" t="n">
        <f aca="false">IF(U$5="A",Inputs_Actuals!U31,T31*(1-Assumptions!$C$116*Assumptions!$F$169+Assumptions!$C$118*Assumptions!$F$171-Assumptions!$C$119*Assumptions!$F$169)*(1+Assumptions!U$198))</f>
        <v>4458.40446548049</v>
      </c>
      <c r="V31" s="65" t="n">
        <f aca="false">IF(V$5="A",Inputs_Actuals!V31,U31*(1-Assumptions!$C$116*Assumptions!$F$169+Assumptions!$C$118*Assumptions!$F$171-Assumptions!$C$119*Assumptions!$F$169)*(1+Assumptions!V$198))</f>
        <v>4404.45777144818</v>
      </c>
      <c r="W31" s="65" t="n">
        <f aca="false">IF(W$5="A",Inputs_Actuals!W31,V31*(1-Assumptions!$C$116*Assumptions!$F$169+Assumptions!$C$118*Assumptions!$F$171-Assumptions!$C$119*Assumptions!$F$169)*(1+Assumptions!W$198))</f>
        <v>4351.16383241366</v>
      </c>
      <c r="X31" s="65" t="n">
        <f aca="false">IF(X$5="A",Inputs_Actuals!X31,W31*(1-Assumptions!$C$116*Assumptions!$F$169+Assumptions!$C$118*Assumptions!$F$171-Assumptions!$C$119*Assumptions!$F$169)*(1+Assumptions!X$198))</f>
        <v>4298.51475004145</v>
      </c>
      <c r="Y31" s="65" t="n">
        <f aca="false">IF(Y$5="A",Inputs_Actuals!Y31,X31*(1-Assumptions!$C$116*Assumptions!$F$169+Assumptions!$C$118*Assumptions!$F$171-Assumptions!$C$119*Assumptions!$F$169)*(1+Assumptions!Y$198))</f>
        <v>4246.50272156595</v>
      </c>
      <c r="Z31" s="65" t="n">
        <f aca="false">IF(Z$5="A",Inputs_Actuals!Z31,Y31*(1-Assumptions!$C$116*Assumptions!$F$169+Assumptions!$C$118*Assumptions!$F$171-Assumptions!$C$119*Assumptions!$F$169)*(1+Assumptions!Z$198))</f>
        <v>4195.120038635</v>
      </c>
      <c r="AA31" s="65" t="n">
        <f aca="false">IF(AA$5="A",Inputs_Actuals!AA31,Z31*(1-Assumptions!$C$116*Assumptions!$F$169+Assumptions!$C$118*Assumptions!$F$171-Assumptions!$C$119*Assumptions!$F$169)*(1+Assumptions!AA$198))</f>
        <v>4144.35908616752</v>
      </c>
      <c r="AB31" s="65" t="n">
        <f aca="false">IF(AB$5="A",Inputs_Actuals!AB31,AA31*(1-Assumptions!$C$116*Assumptions!$F$169+Assumptions!$C$118*Assumptions!$F$171-Assumptions!$C$119*Assumptions!$F$169)*(1+Assumptions!AB$198))</f>
        <v>4094.21234122489</v>
      </c>
    </row>
    <row r="32" customFormat="false" ht="15" hidden="false" customHeight="false" outlineLevel="0" collapsed="false">
      <c r="A32" s="28" t="s">
        <v>895</v>
      </c>
      <c r="B32" s="63" t="s">
        <v>872</v>
      </c>
      <c r="C32" s="64" t="n">
        <f aca="false">P32</f>
        <v>3107.70818108784</v>
      </c>
      <c r="D32" s="64" t="n">
        <f aca="false">AB32</f>
        <v>2819.58606370933</v>
      </c>
      <c r="E32" s="65" t="n">
        <f aca="false">IF(E$5="A",Inputs_Actuals!E32,History!$E$71*(1-Assumptions!$C$112*Assumptions!$F$169+Assumptions!$C$118*Assumptions!$F$171-Assumptions!$C$119*Assumptions!$F$169)*(1+Assumptions!E$198))</f>
        <v>4547.77</v>
      </c>
      <c r="F32" s="65" t="n">
        <f aca="false">IF(F$5="A",Inputs_Actuals!F32,E32*(1-Assumptions!$C$112*Assumptions!$F$169+Assumptions!$C$118*Assumptions!$F$171-Assumptions!$C$119*Assumptions!$F$169)*(1+Assumptions!F$198))</f>
        <v>4252.21</v>
      </c>
      <c r="G32" s="65" t="n">
        <f aca="false">IF(G$5="A",Inputs_Actuals!G32,F32*(1-Assumptions!$C$114*Assumptions!$F$169+Assumptions!$C$118*Assumptions!$F$171-Assumptions!$C$119*Assumptions!$F$169)*(1+Assumptions!G$198))</f>
        <v>3927.79</v>
      </c>
      <c r="H32" s="65" t="n">
        <f aca="false">IF(H$5="A",Inputs_Actuals!H32,G32*(1-Assumptions!$C$114*Assumptions!$F$169+Assumptions!$C$118*Assumptions!$F$171-Assumptions!$C$119*Assumptions!$F$169)*(1+Assumptions!H$198))</f>
        <v>3755.34</v>
      </c>
      <c r="I32" s="65" t="n">
        <f aca="false">IF(I$5="A",Inputs_Actuals!I32,H32*(1-Assumptions!$C$114*Assumptions!$F$169+Assumptions!$C$118*Assumptions!$F$171-Assumptions!$C$119*Assumptions!$F$169)*(1+Assumptions!I$198))</f>
        <v>3595.74</v>
      </c>
      <c r="J32" s="65" t="n">
        <f aca="false">IF(J$5="A",Inputs_Actuals!J32,I32*(1-Assumptions!$C$114*Assumptions!$F$169+Assumptions!$C$118*Assumptions!$F$171-Assumptions!$C$119*Assumptions!$F$169)*(1+Assumptions!J$198))</f>
        <v>3452.82</v>
      </c>
      <c r="K32" s="65" t="n">
        <f aca="false">IF(K$5="A",Inputs_Actuals!K32,J32*(1-Assumptions!$C$114*Assumptions!$F$169+Assumptions!$C$118*Assumptions!$F$171-Assumptions!$C$119*Assumptions!$F$169)*(1+Assumptions!K$198))</f>
        <v>3473.1</v>
      </c>
      <c r="L32" s="65" t="n">
        <f aca="false">IF(L$5="A",Inputs_Actuals!L32,K32*(1-Assumptions!$C$114*Assumptions!$F$169+Assumptions!$C$118*Assumptions!$F$171-Assumptions!$C$119*Assumptions!$F$169)*(1+Assumptions!L$198))</f>
        <v>3349.5</v>
      </c>
      <c r="M32" s="65" t="n">
        <f aca="false">IF(M$5="A",Inputs_Actuals!M32,L32*(1-Assumptions!$C$114*Assumptions!$F$169+Assumptions!$C$118*Assumptions!$F$171-Assumptions!$C$119*Assumptions!$F$169)*(1+Assumptions!M$198))</f>
        <v>3280.16535</v>
      </c>
      <c r="N32" s="65" t="n">
        <f aca="false">IF(N$5="A",Inputs_Actuals!N32,M32*(1-Assumptions!$C$114*Assumptions!$F$169+Assumptions!$C$118*Assumptions!$F$171-Assumptions!$C$119*Assumptions!$F$169)*(1+Assumptions!N$198))</f>
        <v>3212.265927255</v>
      </c>
      <c r="O32" s="65" t="n">
        <f aca="false">IF(O$5="A",Inputs_Actuals!O32,N32*(1-Assumptions!$C$114*Assumptions!$F$169+Assumptions!$C$118*Assumptions!$F$171-Assumptions!$C$119*Assumptions!$F$169)*(1+Assumptions!O$198))</f>
        <v>3145.77202256082</v>
      </c>
      <c r="P32" s="65" t="n">
        <f aca="false">IF(P$5="A",Inputs_Actuals!P32,O32*(1-Assumptions!$C$116*Assumptions!$F$169+Assumptions!$C$118*Assumptions!$F$171-Assumptions!$C$119*Assumptions!$F$169)*(1+Assumptions!P$198))</f>
        <v>3107.70818108784</v>
      </c>
      <c r="Q32" s="65" t="n">
        <f aca="false">IF(Q$5="A",Inputs_Actuals!Q32,P32*(1-Assumptions!$C$116*Assumptions!$F$169+Assumptions!$C$118*Assumptions!$F$171-Assumptions!$C$119*Assumptions!$F$169)*(1+Assumptions!Q$198))</f>
        <v>3223.61015770151</v>
      </c>
      <c r="R32" s="65" t="n">
        <f aca="false">IF(R$5="A",Inputs_Actuals!R32,Q32*(1-Assumptions!$C$116*Assumptions!$F$169+Assumptions!$C$118*Assumptions!$F$171-Assumptions!$C$119*Assumptions!$F$169)*(1+Assumptions!R$198))</f>
        <v>3184.60447479332</v>
      </c>
      <c r="S32" s="65" t="n">
        <f aca="false">IF(S$5="A",Inputs_Actuals!S32,R32*(1-Assumptions!$C$116*Assumptions!$F$169+Assumptions!$C$118*Assumptions!$F$171-Assumptions!$C$119*Assumptions!$F$169)*(1+Assumptions!S$198))</f>
        <v>3146.07076064832</v>
      </c>
      <c r="T32" s="65" t="n">
        <f aca="false">IF(T$5="A",Inputs_Actuals!T32,S32*(1-Assumptions!$C$116*Assumptions!$F$169+Assumptions!$C$118*Assumptions!$F$171-Assumptions!$C$119*Assumptions!$F$169)*(1+Assumptions!T$198))</f>
        <v>3108.00330444448</v>
      </c>
      <c r="U32" s="65" t="n">
        <f aca="false">IF(U$5="A",Inputs_Actuals!U32,T32*(1-Assumptions!$C$116*Assumptions!$F$169+Assumptions!$C$118*Assumptions!$F$171-Assumptions!$C$119*Assumptions!$F$169)*(1+Assumptions!U$198))</f>
        <v>3070.3964644607</v>
      </c>
      <c r="V32" s="65" t="n">
        <f aca="false">IF(V$5="A",Inputs_Actuals!V32,U32*(1-Assumptions!$C$116*Assumptions!$F$169+Assumptions!$C$118*Assumptions!$F$171-Assumptions!$C$119*Assumptions!$F$169)*(1+Assumptions!V$198))</f>
        <v>3033.24466724072</v>
      </c>
      <c r="W32" s="65" t="n">
        <f aca="false">IF(W$5="A",Inputs_Actuals!W32,V32*(1-Assumptions!$C$116*Assumptions!$F$169+Assumptions!$C$118*Assumptions!$F$171-Assumptions!$C$119*Assumptions!$F$169)*(1+Assumptions!W$198))</f>
        <v>2996.54240676711</v>
      </c>
      <c r="X32" s="65" t="n">
        <f aca="false">IF(X$5="A",Inputs_Actuals!X32,W32*(1-Assumptions!$C$116*Assumptions!$F$169+Assumptions!$C$118*Assumptions!$F$171-Assumptions!$C$119*Assumptions!$F$169)*(1+Assumptions!X$198))</f>
        <v>2960.28424364523</v>
      </c>
      <c r="Y32" s="65" t="n">
        <f aca="false">IF(Y$5="A",Inputs_Actuals!Y32,X32*(1-Assumptions!$C$116*Assumptions!$F$169+Assumptions!$C$118*Assumptions!$F$171-Assumptions!$C$119*Assumptions!$F$169)*(1+Assumptions!Y$198))</f>
        <v>2924.46480429712</v>
      </c>
      <c r="Z32" s="65" t="n">
        <f aca="false">IF(Z$5="A",Inputs_Actuals!Z32,Y32*(1-Assumptions!$C$116*Assumptions!$F$169+Assumptions!$C$118*Assumptions!$F$171-Assumptions!$C$119*Assumptions!$F$169)*(1+Assumptions!Z$198))</f>
        <v>2889.07878016513</v>
      </c>
      <c r="AA32" s="65" t="n">
        <f aca="false">IF(AA$5="A",Inputs_Actuals!AA32,Z32*(1-Assumptions!$C$116*Assumptions!$F$169+Assumptions!$C$118*Assumptions!$F$171-Assumptions!$C$119*Assumptions!$F$169)*(1+Assumptions!AA$198))</f>
        <v>2854.12092692513</v>
      </c>
      <c r="AB32" s="65" t="n">
        <f aca="false">IF(AB$5="A",Inputs_Actuals!AB32,AA32*(1-Assumptions!$C$116*Assumptions!$F$169+Assumptions!$C$118*Assumptions!$F$171-Assumptions!$C$119*Assumptions!$F$169)*(1+Assumptions!AB$198))</f>
        <v>2819.58606370933</v>
      </c>
    </row>
    <row r="33" customFormat="false" ht="15" hidden="false" customHeight="false" outlineLevel="0" collapsed="false">
      <c r="A33" s="28" t="s">
        <v>896</v>
      </c>
      <c r="B33" s="63" t="s">
        <v>872</v>
      </c>
      <c r="C33" s="64" t="n">
        <f aca="false">P33</f>
        <v>4139.29786073422</v>
      </c>
      <c r="D33" s="64" t="n">
        <f aca="false">AB33</f>
        <v>3755.53490919558</v>
      </c>
      <c r="E33" s="65" t="n">
        <f aca="false">IF(E$5="A",Inputs_Actuals!E33,History!$E$72*(1-Assumptions!$C$112*Assumptions!$F$169+Assumptions!$C$118*Assumptions!$F$171-Assumptions!$C$119*Assumptions!$F$169)*(1+Assumptions!E$198))</f>
        <v>5496.47</v>
      </c>
      <c r="F33" s="65" t="n">
        <f aca="false">IF(F$5="A",Inputs_Actuals!F33,E33*(1-Assumptions!$C$112*Assumptions!$F$169+Assumptions!$C$118*Assumptions!$F$171-Assumptions!$C$119*Assumptions!$F$169)*(1+Assumptions!F$198))</f>
        <v>5171.39</v>
      </c>
      <c r="G33" s="65" t="n">
        <f aca="false">IF(G$5="A",Inputs_Actuals!G33,F33*(1-Assumptions!$C$112*Assumptions!$F$169+Assumptions!$C$118*Assumptions!$F$171-Assumptions!$C$119*Assumptions!$F$169)*(1+Assumptions!G$198))</f>
        <v>5195.35</v>
      </c>
      <c r="H33" s="65" t="n">
        <f aca="false">IF(H$5="A",Inputs_Actuals!H33,G33*(1-Assumptions!$C$114*Assumptions!$F$169+Assumptions!$C$118*Assumptions!$F$171-Assumptions!$C$119*Assumptions!$F$169)*(1+Assumptions!H$198))</f>
        <v>5031.09</v>
      </c>
      <c r="I33" s="65" t="n">
        <f aca="false">IF(I$5="A",Inputs_Actuals!I33,H33*(1-Assumptions!$C$114*Assumptions!$F$169+Assumptions!$C$118*Assumptions!$F$171-Assumptions!$C$119*Assumptions!$F$169)*(1+Assumptions!I$198))</f>
        <v>4860.8</v>
      </c>
      <c r="J33" s="65" t="n">
        <f aca="false">IF(J$5="A",Inputs_Actuals!J33,I33*(1-Assumptions!$C$114*Assumptions!$F$169+Assumptions!$C$118*Assumptions!$F$171-Assumptions!$C$119*Assumptions!$F$169)*(1+Assumptions!J$198))</f>
        <v>4455.56</v>
      </c>
      <c r="K33" s="65" t="n">
        <f aca="false">IF(K$5="A",Inputs_Actuals!K33,J33*(1-Assumptions!$C$114*Assumptions!$F$169+Assumptions!$C$118*Assumptions!$F$171-Assumptions!$C$119*Assumptions!$F$169)*(1+Assumptions!K$198))</f>
        <v>4482.51</v>
      </c>
      <c r="L33" s="65" t="n">
        <f aca="false">IF(L$5="A",Inputs_Actuals!L33,K33*(1-Assumptions!$C$114*Assumptions!$F$169+Assumptions!$C$118*Assumptions!$F$171-Assumptions!$C$119*Assumptions!$F$169)*(1+Assumptions!L$198))</f>
        <v>4500.53</v>
      </c>
      <c r="M33" s="65" t="n">
        <f aca="false">IF(M$5="A",Inputs_Actuals!M33,L33*(1-Assumptions!$C$114*Assumptions!$F$169+Assumptions!$C$118*Assumptions!$F$171-Assumptions!$C$119*Assumptions!$F$169)*(1+Assumptions!M$198))</f>
        <v>4407.369029</v>
      </c>
      <c r="N33" s="65" t="n">
        <f aca="false">IF(N$5="A",Inputs_Actuals!N33,M33*(1-Assumptions!$C$114*Assumptions!$F$169+Assumptions!$C$118*Assumptions!$F$171-Assumptions!$C$119*Assumptions!$F$169)*(1+Assumptions!N$198))</f>
        <v>4316.1364900997</v>
      </c>
      <c r="O33" s="65" t="n">
        <f aca="false">IF(O$5="A",Inputs_Actuals!O33,N33*(1-Assumptions!$C$114*Assumptions!$F$169+Assumptions!$C$118*Assumptions!$F$171-Assumptions!$C$119*Assumptions!$F$169)*(1+Assumptions!O$198))</f>
        <v>4226.79246475464</v>
      </c>
      <c r="P33" s="65" t="n">
        <f aca="false">IF(P$5="A",Inputs_Actuals!P33,O33*(1-Assumptions!$C$114*Assumptions!$F$169+Assumptions!$C$118*Assumptions!$F$171-Assumptions!$C$119*Assumptions!$F$169)*(1+Assumptions!P$198))</f>
        <v>4139.29786073422</v>
      </c>
      <c r="Q33" s="65" t="n">
        <f aca="false">IF(Q$5="A",Inputs_Actuals!Q33,P33*(1-Assumptions!$C$116*Assumptions!$F$169+Assumptions!$C$118*Assumptions!$F$171-Assumptions!$C$119*Assumptions!$F$169)*(1+Assumptions!Q$198))</f>
        <v>4293.6729744503</v>
      </c>
      <c r="R33" s="65" t="n">
        <f aca="false">IF(R$5="A",Inputs_Actuals!R33,Q33*(1-Assumptions!$C$116*Assumptions!$F$169+Assumptions!$C$118*Assumptions!$F$171-Assumptions!$C$119*Assumptions!$F$169)*(1+Assumptions!R$198))</f>
        <v>4241.71953145945</v>
      </c>
      <c r="S33" s="65" t="n">
        <f aca="false">IF(S$5="A",Inputs_Actuals!S33,R33*(1-Assumptions!$C$116*Assumptions!$F$169+Assumptions!$C$118*Assumptions!$F$171-Assumptions!$C$119*Assumptions!$F$169)*(1+Assumptions!S$198))</f>
        <v>4190.39472512879</v>
      </c>
      <c r="T33" s="65" t="n">
        <f aca="false">IF(T$5="A",Inputs_Actuals!T33,S33*(1-Assumptions!$C$116*Assumptions!$F$169+Assumptions!$C$118*Assumptions!$F$171-Assumptions!$C$119*Assumptions!$F$169)*(1+Assumptions!T$198))</f>
        <v>4139.69094895473</v>
      </c>
      <c r="U33" s="65" t="n">
        <f aca="false">IF(U$5="A",Inputs_Actuals!U33,T33*(1-Assumptions!$C$116*Assumptions!$F$169+Assumptions!$C$118*Assumptions!$F$171-Assumptions!$C$119*Assumptions!$F$169)*(1+Assumptions!U$198))</f>
        <v>4089.60068847238</v>
      </c>
      <c r="V33" s="65" t="n">
        <f aca="false">IF(V$5="A",Inputs_Actuals!V33,U33*(1-Assumptions!$C$116*Assumptions!$F$169+Assumptions!$C$118*Assumptions!$F$171-Assumptions!$C$119*Assumptions!$F$169)*(1+Assumptions!V$198))</f>
        <v>4040.11652014186</v>
      </c>
      <c r="W33" s="65" t="n">
        <f aca="false">IF(W$5="A",Inputs_Actuals!W33,V33*(1-Assumptions!$C$116*Assumptions!$F$169+Assumptions!$C$118*Assumptions!$F$171-Assumptions!$C$119*Assumptions!$F$169)*(1+Assumptions!W$198))</f>
        <v>3991.23111024815</v>
      </c>
      <c r="X33" s="65" t="n">
        <f aca="false">IF(X$5="A",Inputs_Actuals!X33,W33*(1-Assumptions!$C$116*Assumptions!$F$169+Assumptions!$C$118*Assumptions!$F$171-Assumptions!$C$119*Assumptions!$F$169)*(1+Assumptions!X$198))</f>
        <v>3942.93721381415</v>
      </c>
      <c r="Y33" s="65" t="n">
        <f aca="false">IF(Y$5="A",Inputs_Actuals!Y33,X33*(1-Assumptions!$C$116*Assumptions!$F$169+Assumptions!$C$118*Assumptions!$F$171-Assumptions!$C$119*Assumptions!$F$169)*(1+Assumptions!Y$198))</f>
        <v>3895.22767352699</v>
      </c>
      <c r="Z33" s="65" t="n">
        <f aca="false">IF(Z$5="A",Inputs_Actuals!Z33,Y33*(1-Assumptions!$C$116*Assumptions!$F$169+Assumptions!$C$118*Assumptions!$F$171-Assumptions!$C$119*Assumptions!$F$169)*(1+Assumptions!Z$198))</f>
        <v>3848.09541867732</v>
      </c>
      <c r="AA33" s="65" t="n">
        <f aca="false">IF(AA$5="A",Inputs_Actuals!AA33,Z33*(1-Assumptions!$C$116*Assumptions!$F$169+Assumptions!$C$118*Assumptions!$F$171-Assumptions!$C$119*Assumptions!$F$169)*(1+Assumptions!AA$198))</f>
        <v>3801.53346411132</v>
      </c>
      <c r="AB33" s="65" t="n">
        <f aca="false">IF(AB$5="A",Inputs_Actuals!AB33,AA33*(1-Assumptions!$C$116*Assumptions!$F$169+Assumptions!$C$118*Assumptions!$F$171-Assumptions!$C$119*Assumptions!$F$169)*(1+Assumptions!AB$198))</f>
        <v>3755.53490919558</v>
      </c>
    </row>
    <row r="34" customFormat="false" ht="15" hidden="false" customHeight="false" outlineLevel="0" collapsed="false">
      <c r="A34" s="28" t="s">
        <v>897</v>
      </c>
      <c r="B34" s="63" t="s">
        <v>872</v>
      </c>
      <c r="C34" s="64" t="n">
        <f aca="false">P34</f>
        <v>4745.98308400261</v>
      </c>
      <c r="D34" s="64" t="n">
        <f aca="false">AB34</f>
        <v>4268.488141868</v>
      </c>
      <c r="E34" s="65" t="n">
        <f aca="false">IF(E$5="A",Inputs_Actuals!E34,New_Business!E11)</f>
        <v>6167.42</v>
      </c>
      <c r="F34" s="65" t="n">
        <f aca="false">IF(F$5="A",Inputs_Actuals!F34,E34*(1-Assumptions!$C$112*Assumptions!$F$169+Assumptions!$C$118*Assumptions!$F$171-Assumptions!$C$119*Assumptions!$F$169)*(1+Assumptions!F$198))</f>
        <v>5861.17</v>
      </c>
      <c r="G34" s="65" t="n">
        <f aca="false">IF(G$5="A",Inputs_Actuals!G34,F34*(1-Assumptions!$C$112*Assumptions!$F$169+Assumptions!$C$118*Assumptions!$F$171-Assumptions!$C$119*Assumptions!$F$169)*(1+Assumptions!G$198))</f>
        <v>5898.97</v>
      </c>
      <c r="H34" s="65" t="n">
        <f aca="false">IF(H$5="A",Inputs_Actuals!H34,G34*(1-Assumptions!$C$112*Assumptions!$F$169+Assumptions!$C$118*Assumptions!$F$171-Assumptions!$C$119*Assumptions!$F$169)*(1+Assumptions!H$198))</f>
        <v>5607.57</v>
      </c>
      <c r="I34" s="65" t="n">
        <f aca="false">IF(I$5="A",Inputs_Actuals!I34,H34*(1-Assumptions!$C$114*Assumptions!$F$169+Assumptions!$C$118*Assumptions!$F$171-Assumptions!$C$119*Assumptions!$F$169)*(1+Assumptions!I$198))</f>
        <v>5474.36</v>
      </c>
      <c r="J34" s="65" t="n">
        <f aca="false">IF(J$5="A",Inputs_Actuals!J34,I34*(1-Assumptions!$C$114*Assumptions!$F$169+Assumptions!$C$118*Assumptions!$F$171-Assumptions!$C$119*Assumptions!$F$169)*(1+Assumptions!J$198))</f>
        <v>5101.39</v>
      </c>
      <c r="K34" s="65" t="n">
        <f aca="false">IF(K$5="A",Inputs_Actuals!K34,J34*(1-Assumptions!$C$114*Assumptions!$F$169+Assumptions!$C$118*Assumptions!$F$171-Assumptions!$C$119*Assumptions!$F$169)*(1+Assumptions!K$198))</f>
        <v>5141.02</v>
      </c>
      <c r="L34" s="65" t="n">
        <f aca="false">IF(L$5="A",Inputs_Actuals!L34,K34*(1-Assumptions!$C$114*Assumptions!$F$169+Assumptions!$C$118*Assumptions!$F$171-Assumptions!$C$119*Assumptions!$F$169)*(1+Assumptions!L$198))</f>
        <v>5160.16</v>
      </c>
      <c r="M34" s="65" t="n">
        <f aca="false">IF(M$5="A",Inputs_Actuals!M34,L34*(1-Assumptions!$C$114*Assumptions!$F$169+Assumptions!$C$118*Assumptions!$F$171-Assumptions!$C$119*Assumptions!$F$169)*(1+Assumptions!M$198))</f>
        <v>5053.344688</v>
      </c>
      <c r="N34" s="65" t="n">
        <f aca="false">IF(N$5="A",Inputs_Actuals!N34,M34*(1-Assumptions!$C$114*Assumptions!$F$169+Assumptions!$C$118*Assumptions!$F$171-Assumptions!$C$119*Assumptions!$F$169)*(1+Assumptions!N$198))</f>
        <v>4948.7404529584</v>
      </c>
      <c r="O34" s="65" t="n">
        <f aca="false">IF(O$5="A",Inputs_Actuals!O34,N34*(1-Assumptions!$C$114*Assumptions!$F$169+Assumptions!$C$118*Assumptions!$F$171-Assumptions!$C$119*Assumptions!$F$169)*(1+Assumptions!O$198))</f>
        <v>4846.30152558216</v>
      </c>
      <c r="P34" s="65" t="n">
        <f aca="false">IF(P$5="A",Inputs_Actuals!P34,O34*(1-Assumptions!$C$114*Assumptions!$F$169+Assumptions!$C$118*Assumptions!$F$171-Assumptions!$C$119*Assumptions!$F$169)*(1+Assumptions!P$198))</f>
        <v>4745.98308400261</v>
      </c>
      <c r="Q34" s="65" t="n">
        <f aca="false">IF(Q$5="A",Inputs_Actuals!Q34,P34*(1-Assumptions!$C$114*Assumptions!$F$169+Assumptions!$C$118*Assumptions!$F$171-Assumptions!$C$119*Assumptions!$F$169)*(1+Assumptions!Q$198))</f>
        <v>4880.12829587195</v>
      </c>
      <c r="R34" s="65" t="n">
        <f aca="false">IF(R$5="A",Inputs_Actuals!R34,Q34*(1-Assumptions!$C$116*Assumptions!$F$169+Assumptions!$C$118*Assumptions!$F$171-Assumptions!$C$119*Assumptions!$F$169)*(1+Assumptions!R$198))</f>
        <v>4821.0787434919</v>
      </c>
      <c r="S34" s="65" t="n">
        <f aca="false">IF(S$5="A",Inputs_Actuals!S34,R34*(1-Assumptions!$C$116*Assumptions!$F$169+Assumptions!$C$118*Assumptions!$F$171-Assumptions!$C$119*Assumptions!$F$169)*(1+Assumptions!S$198))</f>
        <v>4762.74369069564</v>
      </c>
      <c r="T34" s="65" t="n">
        <f aca="false">IF(T$5="A",Inputs_Actuals!T34,S34*(1-Assumptions!$C$116*Assumptions!$F$169+Assumptions!$C$118*Assumptions!$F$171-Assumptions!$C$119*Assumptions!$F$169)*(1+Assumptions!T$198))</f>
        <v>4705.11449203823</v>
      </c>
      <c r="U34" s="65" t="n">
        <f aca="false">IF(U$5="A",Inputs_Actuals!U34,T34*(1-Assumptions!$C$116*Assumptions!$F$169+Assumptions!$C$118*Assumptions!$F$171-Assumptions!$C$119*Assumptions!$F$169)*(1+Assumptions!U$198))</f>
        <v>4648.18260668456</v>
      </c>
      <c r="V34" s="65" t="n">
        <f aca="false">IF(V$5="A",Inputs_Actuals!V34,U34*(1-Assumptions!$C$116*Assumptions!$F$169+Assumptions!$C$118*Assumptions!$F$171-Assumptions!$C$119*Assumptions!$F$169)*(1+Assumptions!V$198))</f>
        <v>4591.93959714368</v>
      </c>
      <c r="W34" s="65" t="n">
        <f aca="false">IF(W$5="A",Inputs_Actuals!W34,V34*(1-Assumptions!$C$116*Assumptions!$F$169+Assumptions!$C$118*Assumptions!$F$171-Assumptions!$C$119*Assumptions!$F$169)*(1+Assumptions!W$198))</f>
        <v>4536.37712801824</v>
      </c>
      <c r="X34" s="65" t="n">
        <f aca="false">IF(X$5="A",Inputs_Actuals!X34,W34*(1-Assumptions!$C$116*Assumptions!$F$169+Assumptions!$C$118*Assumptions!$F$171-Assumptions!$C$119*Assumptions!$F$169)*(1+Assumptions!X$198))</f>
        <v>4481.48696476922</v>
      </c>
      <c r="Y34" s="65" t="n">
        <f aca="false">IF(Y$5="A",Inputs_Actuals!Y34,X34*(1-Assumptions!$C$116*Assumptions!$F$169+Assumptions!$C$118*Assumptions!$F$171-Assumptions!$C$119*Assumptions!$F$169)*(1+Assumptions!Y$198))</f>
        <v>4427.26097249551</v>
      </c>
      <c r="Z34" s="65" t="n">
        <f aca="false">IF(Z$5="A",Inputs_Actuals!Z34,Y34*(1-Assumptions!$C$116*Assumptions!$F$169+Assumptions!$C$118*Assumptions!$F$171-Assumptions!$C$119*Assumptions!$F$169)*(1+Assumptions!Z$198))</f>
        <v>4373.69111472832</v>
      </c>
      <c r="AA34" s="65" t="n">
        <f aca="false">IF(AA$5="A",Inputs_Actuals!AA34,Z34*(1-Assumptions!$C$116*Assumptions!$F$169+Assumptions!$C$118*Assumptions!$F$171-Assumptions!$C$119*Assumptions!$F$169)*(1+Assumptions!AA$198))</f>
        <v>4320.7694522401</v>
      </c>
      <c r="AB34" s="65" t="n">
        <f aca="false">IF(AB$5="A",Inputs_Actuals!AB34,AA34*(1-Assumptions!$C$116*Assumptions!$F$169+Assumptions!$C$118*Assumptions!$F$171-Assumptions!$C$119*Assumptions!$F$169)*(1+Assumptions!AB$198))</f>
        <v>4268.488141868</v>
      </c>
    </row>
    <row r="35" customFormat="false" ht="15" hidden="false" customHeight="false" outlineLevel="0" collapsed="false">
      <c r="A35" s="28" t="s">
        <v>898</v>
      </c>
      <c r="B35" s="63" t="s">
        <v>872</v>
      </c>
      <c r="C35" s="64" t="n">
        <f aca="false">P35</f>
        <v>5063.79773600509</v>
      </c>
      <c r="D35" s="64" t="n">
        <f aca="false">AB35</f>
        <v>4514.68041238419</v>
      </c>
      <c r="E35" s="74" t="n">
        <f aca="false">0</f>
        <v>0</v>
      </c>
      <c r="F35" s="65" t="n">
        <f aca="false">IF(F$5="A",Inputs_Actuals!F35,New_Business!F11)</f>
        <v>7044.4</v>
      </c>
      <c r="G35" s="65" t="n">
        <f aca="false">IF(G$5="A",Inputs_Actuals!G35,F35*(1-Assumptions!$C$112*Assumptions!$F$169+Assumptions!$C$118*Assumptions!$F$171-Assumptions!$C$119*Assumptions!$F$169)*(1+Assumptions!G$198))</f>
        <v>6771.92</v>
      </c>
      <c r="H35" s="65" t="n">
        <f aca="false">IF(H$5="A",Inputs_Actuals!H35,G35*(1-Assumptions!$C$112*Assumptions!$F$169+Assumptions!$C$118*Assumptions!$F$171-Assumptions!$C$119*Assumptions!$F$169)*(1+Assumptions!H$198))</f>
        <v>6634.6</v>
      </c>
      <c r="I35" s="65" t="n">
        <f aca="false">IF(I$5="A",Inputs_Actuals!I35,H35*(1-Assumptions!$C$112*Assumptions!$F$169+Assumptions!$C$118*Assumptions!$F$171-Assumptions!$C$119*Assumptions!$F$169)*(1+Assumptions!I$198))</f>
        <v>6684.42</v>
      </c>
      <c r="J35" s="65" t="n">
        <f aca="false">IF(J$5="A",Inputs_Actuals!J35,I35*(1-Assumptions!$C$114*Assumptions!$F$169+Assumptions!$C$118*Assumptions!$F$171-Assumptions!$C$119*Assumptions!$F$169)*(1+Assumptions!J$198))</f>
        <v>6011.47</v>
      </c>
      <c r="K35" s="65" t="n">
        <f aca="false">IF(K$5="A",Inputs_Actuals!K35,J35*(1-Assumptions!$C$114*Assumptions!$F$169+Assumptions!$C$118*Assumptions!$F$171-Assumptions!$C$119*Assumptions!$F$169)*(1+Assumptions!K$198))</f>
        <v>5680.15</v>
      </c>
      <c r="L35" s="65" t="n">
        <f aca="false">IF(L$5="A",Inputs_Actuals!L35,K35*(1-Assumptions!$C$114*Assumptions!$F$169+Assumptions!$C$118*Assumptions!$F$171-Assumptions!$C$119*Assumptions!$F$169)*(1+Assumptions!L$198))</f>
        <v>5505.71</v>
      </c>
      <c r="M35" s="65" t="n">
        <f aca="false">IF(M$5="A",Inputs_Actuals!M35,L35*(1-Assumptions!$C$114*Assumptions!$F$169+Assumptions!$C$118*Assumptions!$F$171-Assumptions!$C$119*Assumptions!$F$169)*(1+Assumptions!M$198))</f>
        <v>5391.741803</v>
      </c>
      <c r="N35" s="65" t="n">
        <f aca="false">IF(N$5="A",Inputs_Actuals!N35,M35*(1-Assumptions!$C$114*Assumptions!$F$169+Assumptions!$C$118*Assumptions!$F$171-Assumptions!$C$119*Assumptions!$F$169)*(1+Assumptions!N$198))</f>
        <v>5280.1327476779</v>
      </c>
      <c r="O35" s="65" t="n">
        <f aca="false">IF(O$5="A",Inputs_Actuals!O35,N35*(1-Assumptions!$C$114*Assumptions!$F$169+Assumptions!$C$118*Assumptions!$F$171-Assumptions!$C$119*Assumptions!$F$169)*(1+Assumptions!O$198))</f>
        <v>5170.83399980097</v>
      </c>
      <c r="P35" s="65" t="n">
        <f aca="false">IF(P$5="A",Inputs_Actuals!P35,O35*(1-Assumptions!$C$114*Assumptions!$F$169+Assumptions!$C$118*Assumptions!$F$171-Assumptions!$C$119*Assumptions!$F$169)*(1+Assumptions!P$198))</f>
        <v>5063.79773600509</v>
      </c>
      <c r="Q35" s="65" t="n">
        <f aca="false">IF(Q$5="A",Inputs_Actuals!Q35,P35*(1-Assumptions!$C$114*Assumptions!$F$169+Assumptions!$C$118*Assumptions!$F$171-Assumptions!$C$119*Assumptions!$F$169)*(1+Assumptions!Q$198))</f>
        <v>5206.92597901327</v>
      </c>
      <c r="R35" s="65" t="n">
        <f aca="false">IF(R$5="A",Inputs_Actuals!R35,Q35*(1-Assumptions!$C$114*Assumptions!$F$169+Assumptions!$C$118*Assumptions!$F$171-Assumptions!$C$119*Assumptions!$F$169)*(1+Assumptions!R$198))</f>
        <v>5099.1426112477</v>
      </c>
      <c r="S35" s="65" t="n">
        <f aca="false">IF(S$5="A",Inputs_Actuals!S35,R35*(1-Assumptions!$C$116*Assumptions!$F$169+Assumptions!$C$118*Assumptions!$F$171-Assumptions!$C$119*Assumptions!$F$169)*(1+Assumptions!S$198))</f>
        <v>5037.4429856516</v>
      </c>
      <c r="T35" s="65" t="n">
        <f aca="false">IF(T$5="A",Inputs_Actuals!T35,S35*(1-Assumptions!$C$116*Assumptions!$F$169+Assumptions!$C$118*Assumptions!$F$171-Assumptions!$C$119*Assumptions!$F$169)*(1+Assumptions!T$198))</f>
        <v>4976.48992552522</v>
      </c>
      <c r="U35" s="65" t="n">
        <f aca="false">IF(U$5="A",Inputs_Actuals!U35,T35*(1-Assumptions!$C$116*Assumptions!$F$169+Assumptions!$C$118*Assumptions!$F$171-Assumptions!$C$119*Assumptions!$F$169)*(1+Assumptions!U$198))</f>
        <v>4916.27439742636</v>
      </c>
      <c r="V35" s="65" t="n">
        <f aca="false">IF(V$5="A",Inputs_Actuals!V35,U35*(1-Assumptions!$C$116*Assumptions!$F$169+Assumptions!$C$118*Assumptions!$F$171-Assumptions!$C$119*Assumptions!$F$169)*(1+Assumptions!V$198))</f>
        <v>4856.7874772175</v>
      </c>
      <c r="W35" s="65" t="n">
        <f aca="false">IF(W$5="A",Inputs_Actuals!W35,V35*(1-Assumptions!$C$116*Assumptions!$F$169+Assumptions!$C$118*Assumptions!$F$171-Assumptions!$C$119*Assumptions!$F$169)*(1+Assumptions!W$198))</f>
        <v>4798.02034874317</v>
      </c>
      <c r="X35" s="65" t="n">
        <f aca="false">IF(X$5="A",Inputs_Actuals!X35,W35*(1-Assumptions!$C$116*Assumptions!$F$169+Assumptions!$C$118*Assumptions!$F$171-Assumptions!$C$119*Assumptions!$F$169)*(1+Assumptions!X$198))</f>
        <v>4739.96430252338</v>
      </c>
      <c r="Y35" s="65" t="n">
        <f aca="false">IF(Y$5="A",Inputs_Actuals!Y35,X35*(1-Assumptions!$C$116*Assumptions!$F$169+Assumptions!$C$118*Assumptions!$F$171-Assumptions!$C$119*Assumptions!$F$169)*(1+Assumptions!Y$198))</f>
        <v>4682.61073446285</v>
      </c>
      <c r="Z35" s="65" t="n">
        <f aca="false">IF(Z$5="A",Inputs_Actuals!Z35,Y35*(1-Assumptions!$C$116*Assumptions!$F$169+Assumptions!$C$118*Assumptions!$F$171-Assumptions!$C$119*Assumptions!$F$169)*(1+Assumptions!Z$198))</f>
        <v>4625.95114457585</v>
      </c>
      <c r="AA35" s="65" t="n">
        <f aca="false">IF(AA$5="A",Inputs_Actuals!AA35,Z35*(1-Assumptions!$C$116*Assumptions!$F$169+Assumptions!$C$118*Assumptions!$F$171-Assumptions!$C$119*Assumptions!$F$169)*(1+Assumptions!AA$198))</f>
        <v>4569.97713572648</v>
      </c>
      <c r="AB35" s="65" t="n">
        <f aca="false">IF(AB$5="A",Inputs_Actuals!AB35,AA35*(1-Assumptions!$C$116*Assumptions!$F$169+Assumptions!$C$118*Assumptions!$F$171-Assumptions!$C$119*Assumptions!$F$169)*(1+Assumptions!AB$198))</f>
        <v>4514.68041238419</v>
      </c>
    </row>
    <row r="36" customFormat="false" ht="15" hidden="false" customHeight="false" outlineLevel="0" collapsed="false">
      <c r="A36" s="28" t="s">
        <v>899</v>
      </c>
      <c r="B36" s="63" t="s">
        <v>872</v>
      </c>
      <c r="C36" s="64" t="n">
        <f aca="false">P36</f>
        <v>5239.70637539734</v>
      </c>
      <c r="D36" s="64" t="n">
        <f aca="false">AB36</f>
        <v>4630.84646198424</v>
      </c>
      <c r="E36" s="74" t="n">
        <f aca="false">0</f>
        <v>0</v>
      </c>
      <c r="F36" s="74" t="n">
        <f aca="false">0</f>
        <v>0</v>
      </c>
      <c r="G36" s="65" t="n">
        <f aca="false">IF(G$5="A",Inputs_Actuals!G36,New_Business!G11)</f>
        <v>6938.22</v>
      </c>
      <c r="H36" s="65" t="n">
        <f aca="false">IF(H$5="A",Inputs_Actuals!H36,G36*(1-Assumptions!$C$112*Assumptions!$F$169+Assumptions!$C$118*Assumptions!$F$171-Assumptions!$C$119*Assumptions!$F$169)*(1+Assumptions!H$198))</f>
        <v>6636.37</v>
      </c>
      <c r="I36" s="65" t="n">
        <f aca="false">IF(I$5="A",Inputs_Actuals!I36,H36*(1-Assumptions!$C$112*Assumptions!$F$169+Assumptions!$C$118*Assumptions!$F$171-Assumptions!$C$119*Assumptions!$F$169)*(1+Assumptions!I$198))</f>
        <v>6362.98</v>
      </c>
      <c r="J36" s="65" t="n">
        <f aca="false">IF(J$5="A",Inputs_Actuals!J36,I36*(1-Assumptions!$C$112*Assumptions!$F$169+Assumptions!$C$118*Assumptions!$F$171-Assumptions!$C$119*Assumptions!$F$169)*(1+Assumptions!J$198))</f>
        <v>5836.71</v>
      </c>
      <c r="K36" s="65" t="n">
        <f aca="false">IF(K$5="A",Inputs_Actuals!K36,J36*(1-Assumptions!$C$114*Assumptions!$F$169+Assumptions!$C$118*Assumptions!$F$171-Assumptions!$C$119*Assumptions!$F$169)*(1+Assumptions!K$198))</f>
        <v>5670.61</v>
      </c>
      <c r="L36" s="65" t="n">
        <f aca="false">IF(L$5="A",Inputs_Actuals!L36,K36*(1-Assumptions!$C$114*Assumptions!$F$169+Assumptions!$C$118*Assumptions!$F$171-Assumptions!$C$119*Assumptions!$F$169)*(1+Assumptions!L$198))</f>
        <v>5696.97</v>
      </c>
      <c r="M36" s="65" t="n">
        <f aca="false">IF(M$5="A",Inputs_Actuals!M36,L36*(1-Assumptions!$C$114*Assumptions!$F$169+Assumptions!$C$118*Assumptions!$F$171-Assumptions!$C$119*Assumptions!$F$169)*(1+Assumptions!M$198))</f>
        <v>5579.042721</v>
      </c>
      <c r="N36" s="65" t="n">
        <f aca="false">IF(N$5="A",Inputs_Actuals!N36,M36*(1-Assumptions!$C$114*Assumptions!$F$169+Assumptions!$C$118*Assumptions!$F$171-Assumptions!$C$119*Assumptions!$F$169)*(1+Assumptions!N$198))</f>
        <v>5463.5565366753</v>
      </c>
      <c r="O36" s="65" t="n">
        <f aca="false">IF(O$5="A",Inputs_Actuals!O36,N36*(1-Assumptions!$C$114*Assumptions!$F$169+Assumptions!$C$118*Assumptions!$F$171-Assumptions!$C$119*Assumptions!$F$169)*(1+Assumptions!O$198))</f>
        <v>5350.46091636612</v>
      </c>
      <c r="P36" s="65" t="n">
        <f aca="false">IF(P$5="A",Inputs_Actuals!P36,O36*(1-Assumptions!$C$114*Assumptions!$F$169+Assumptions!$C$118*Assumptions!$F$171-Assumptions!$C$119*Assumptions!$F$169)*(1+Assumptions!P$198))</f>
        <v>5239.70637539734</v>
      </c>
      <c r="Q36" s="65" t="n">
        <f aca="false">IF(Q$5="A",Inputs_Actuals!Q36,P36*(1-Assumptions!$C$114*Assumptions!$F$169+Assumptions!$C$118*Assumptions!$F$171-Assumptions!$C$119*Assumptions!$F$169)*(1+Assumptions!Q$198))</f>
        <v>5387.80667609795</v>
      </c>
      <c r="R36" s="65" t="n">
        <f aca="false">IF(R$5="A",Inputs_Actuals!R36,Q36*(1-Assumptions!$C$114*Assumptions!$F$169+Assumptions!$C$118*Assumptions!$F$171-Assumptions!$C$119*Assumptions!$F$169)*(1+Assumptions!R$198))</f>
        <v>5276.27907790272</v>
      </c>
      <c r="S36" s="65" t="n">
        <f aca="false">IF(S$5="A",Inputs_Actuals!S36,R36*(1-Assumptions!$C$114*Assumptions!$F$169+Assumptions!$C$118*Assumptions!$F$171-Assumptions!$C$119*Assumptions!$F$169)*(1+Assumptions!S$198))</f>
        <v>5167.06010099014</v>
      </c>
      <c r="T36" s="65" t="n">
        <f aca="false">IF(T$5="A",Inputs_Actuals!T36,S36*(1-Assumptions!$C$116*Assumptions!$F$169+Assumptions!$C$118*Assumptions!$F$171-Assumptions!$C$119*Assumptions!$F$169)*(1+Assumptions!T$198))</f>
        <v>5104.53867376816</v>
      </c>
      <c r="U36" s="65" t="n">
        <f aca="false">IF(U$5="A",Inputs_Actuals!U36,T36*(1-Assumptions!$C$116*Assumptions!$F$169+Assumptions!$C$118*Assumptions!$F$171-Assumptions!$C$119*Assumptions!$F$169)*(1+Assumptions!U$198))</f>
        <v>5042.77375581556</v>
      </c>
      <c r="V36" s="65" t="n">
        <f aca="false">IF(V$5="A",Inputs_Actuals!V36,U36*(1-Assumptions!$C$116*Assumptions!$F$169+Assumptions!$C$118*Assumptions!$F$171-Assumptions!$C$119*Assumptions!$F$169)*(1+Assumptions!V$198))</f>
        <v>4981.75619337019</v>
      </c>
      <c r="W36" s="65" t="n">
        <f aca="false">IF(W$5="A",Inputs_Actuals!W36,V36*(1-Assumptions!$C$116*Assumptions!$F$169+Assumptions!$C$118*Assumptions!$F$171-Assumptions!$C$119*Assumptions!$F$169)*(1+Assumptions!W$198))</f>
        <v>4921.47694343041</v>
      </c>
      <c r="X36" s="65" t="n">
        <f aca="false">IF(X$5="A",Inputs_Actuals!X36,W36*(1-Assumptions!$C$116*Assumptions!$F$169+Assumptions!$C$118*Assumptions!$F$171-Assumptions!$C$119*Assumptions!$F$169)*(1+Assumptions!X$198))</f>
        <v>4861.92707241491</v>
      </c>
      <c r="Y36" s="65" t="n">
        <f aca="false">IF(Y$5="A",Inputs_Actuals!Y36,X36*(1-Assumptions!$C$116*Assumptions!$F$169+Assumptions!$C$118*Assumptions!$F$171-Assumptions!$C$119*Assumptions!$F$169)*(1+Assumptions!Y$198))</f>
        <v>4803.09775483869</v>
      </c>
      <c r="Z36" s="65" t="n">
        <f aca="false">IF(Z$5="A",Inputs_Actuals!Z36,Y36*(1-Assumptions!$C$116*Assumptions!$F$169+Assumptions!$C$118*Assumptions!$F$171-Assumptions!$C$119*Assumptions!$F$169)*(1+Assumptions!Z$198))</f>
        <v>4744.98027200514</v>
      </c>
      <c r="AA36" s="65" t="n">
        <f aca="false">IF(AA$5="A",Inputs_Actuals!AA36,Z36*(1-Assumptions!$C$116*Assumptions!$F$169+Assumptions!$C$118*Assumptions!$F$171-Assumptions!$C$119*Assumptions!$F$169)*(1+Assumptions!AA$198))</f>
        <v>4687.56601071388</v>
      </c>
      <c r="AB36" s="65" t="n">
        <f aca="false">IF(AB$5="A",Inputs_Actuals!AB36,AA36*(1-Assumptions!$C$116*Assumptions!$F$169+Assumptions!$C$118*Assumptions!$F$171-Assumptions!$C$119*Assumptions!$F$169)*(1+Assumptions!AB$198))</f>
        <v>4630.84646198424</v>
      </c>
    </row>
    <row r="37" customFormat="false" ht="15" hidden="false" customHeight="false" outlineLevel="0" collapsed="false">
      <c r="A37" s="28" t="s">
        <v>900</v>
      </c>
      <c r="B37" s="63" t="s">
        <v>872</v>
      </c>
      <c r="C37" s="64" t="n">
        <f aca="false">P37</f>
        <v>4301.58521522948</v>
      </c>
      <c r="D37" s="64" t="n">
        <f aca="false">AB37</f>
        <v>3768.64067643612</v>
      </c>
      <c r="E37" s="74" t="n">
        <f aca="false">0</f>
        <v>0</v>
      </c>
      <c r="F37" s="74" t="n">
        <f aca="false">0</f>
        <v>0</v>
      </c>
      <c r="G37" s="74" t="n">
        <f aca="false">0</f>
        <v>0</v>
      </c>
      <c r="H37" s="65" t="n">
        <f aca="false">IF(H$5="A",Inputs_Actuals!H37,New_Business!H11)</f>
        <v>5811.95</v>
      </c>
      <c r="I37" s="65" t="n">
        <f aca="false">IF(I$5="A",Inputs_Actuals!I37,H37*(1-Assumptions!$C$112*Assumptions!$F$169+Assumptions!$C$118*Assumptions!$F$171-Assumptions!$C$119*Assumptions!$F$169)*(1+Assumptions!I$198))</f>
        <v>5528.58</v>
      </c>
      <c r="J37" s="65" t="n">
        <f aca="false">IF(J$5="A",Inputs_Actuals!J37,I37*(1-Assumptions!$C$112*Assumptions!$F$169+Assumptions!$C$118*Assumptions!$F$171-Assumptions!$C$119*Assumptions!$F$169)*(1+Assumptions!J$198))</f>
        <v>5365.7</v>
      </c>
      <c r="K37" s="65" t="n">
        <f aca="false">IF(K$5="A",Inputs_Actuals!K37,J37*(1-Assumptions!$C$112*Assumptions!$F$169+Assumptions!$C$118*Assumptions!$F$171-Assumptions!$C$119*Assumptions!$F$169)*(1+Assumptions!K$198))</f>
        <v>4986.84</v>
      </c>
      <c r="L37" s="65" t="n">
        <f aca="false">IF(L$5="A",Inputs_Actuals!L37,K37*(1-Assumptions!$C$114*Assumptions!$F$169+Assumptions!$C$118*Assumptions!$F$171-Assumptions!$C$119*Assumptions!$F$169)*(1+Assumptions!L$198))</f>
        <v>4676.98</v>
      </c>
      <c r="M37" s="65" t="n">
        <f aca="false">IF(M$5="A",Inputs_Actuals!M37,L37*(1-Assumptions!$C$114*Assumptions!$F$169+Assumptions!$C$118*Assumptions!$F$171-Assumptions!$C$119*Assumptions!$F$169)*(1+Assumptions!M$198))</f>
        <v>4580.166514</v>
      </c>
      <c r="N37" s="65" t="n">
        <f aca="false">IF(N$5="A",Inputs_Actuals!N37,M37*(1-Assumptions!$C$114*Assumptions!$F$169+Assumptions!$C$118*Assumptions!$F$171-Assumptions!$C$119*Assumptions!$F$169)*(1+Assumptions!N$198))</f>
        <v>4485.3570671602</v>
      </c>
      <c r="O37" s="65" t="n">
        <f aca="false">IF(O$5="A",Inputs_Actuals!O37,N37*(1-Assumptions!$C$114*Assumptions!$F$169+Assumptions!$C$118*Assumptions!$F$171-Assumptions!$C$119*Assumptions!$F$169)*(1+Assumptions!O$198))</f>
        <v>4392.51017586998</v>
      </c>
      <c r="P37" s="65" t="n">
        <f aca="false">IF(P$5="A",Inputs_Actuals!P37,O37*(1-Assumptions!$C$114*Assumptions!$F$169+Assumptions!$C$118*Assumptions!$F$171-Assumptions!$C$119*Assumptions!$F$169)*(1+Assumptions!P$198))</f>
        <v>4301.58521522948</v>
      </c>
      <c r="Q37" s="65" t="n">
        <f aca="false">IF(Q$5="A",Inputs_Actuals!Q37,P37*(1-Assumptions!$C$114*Assumptions!$F$169+Assumptions!$C$118*Assumptions!$F$171-Assumptions!$C$119*Assumptions!$F$169)*(1+Assumptions!Q$198))</f>
        <v>4423.16952133794</v>
      </c>
      <c r="R37" s="65" t="n">
        <f aca="false">IF(R$5="A",Inputs_Actuals!R37,Q37*(1-Assumptions!$C$114*Assumptions!$F$169+Assumptions!$C$118*Assumptions!$F$171-Assumptions!$C$119*Assumptions!$F$169)*(1+Assumptions!R$198))</f>
        <v>4331.60991224624</v>
      </c>
      <c r="S37" s="65" t="n">
        <f aca="false">IF(S$5="A",Inputs_Actuals!S37,R37*(1-Assumptions!$C$114*Assumptions!$F$169+Assumptions!$C$118*Assumptions!$F$171-Assumptions!$C$119*Assumptions!$F$169)*(1+Assumptions!S$198))</f>
        <v>4241.94558706275</v>
      </c>
      <c r="T37" s="65" t="n">
        <f aca="false">IF(T$5="A",Inputs_Actuals!T37,S37*(1-Assumptions!$C$114*Assumptions!$F$169+Assumptions!$C$118*Assumptions!$F$171-Assumptions!$C$119*Assumptions!$F$169)*(1+Assumptions!T$198))</f>
        <v>4154.13731341055</v>
      </c>
      <c r="U37" s="65" t="n">
        <f aca="false">IF(U$5="A",Inputs_Actuals!U37,T37*(1-Assumptions!$C$116*Assumptions!$F$169+Assumptions!$C$118*Assumptions!$F$171-Assumptions!$C$119*Assumptions!$F$169)*(1+Assumptions!U$198))</f>
        <v>4103.87225191828</v>
      </c>
      <c r="V37" s="65" t="n">
        <f aca="false">IF(V$5="A",Inputs_Actuals!V37,U37*(1-Assumptions!$C$116*Assumptions!$F$169+Assumptions!$C$118*Assumptions!$F$171-Assumptions!$C$119*Assumptions!$F$169)*(1+Assumptions!V$198))</f>
        <v>4054.21539767007</v>
      </c>
      <c r="W37" s="65" t="n">
        <f aca="false">IF(W$5="A",Inputs_Actuals!W37,V37*(1-Assumptions!$C$116*Assumptions!$F$169+Assumptions!$C$118*Assumptions!$F$171-Assumptions!$C$119*Assumptions!$F$169)*(1+Assumptions!W$198))</f>
        <v>4005.15939135826</v>
      </c>
      <c r="X37" s="65" t="n">
        <f aca="false">IF(X$5="A",Inputs_Actuals!X37,W37*(1-Assumptions!$C$116*Assumptions!$F$169+Assumptions!$C$118*Assumptions!$F$171-Assumptions!$C$119*Assumptions!$F$169)*(1+Assumptions!X$198))</f>
        <v>3956.69696272283</v>
      </c>
      <c r="Y37" s="65" t="n">
        <f aca="false">IF(Y$5="A",Inputs_Actuals!Y37,X37*(1-Assumptions!$C$116*Assumptions!$F$169+Assumptions!$C$118*Assumptions!$F$171-Assumptions!$C$119*Assumptions!$F$169)*(1+Assumptions!Y$198))</f>
        <v>3908.82092947388</v>
      </c>
      <c r="Z37" s="65" t="n">
        <f aca="false">IF(Z$5="A",Inputs_Actuals!Z37,Y37*(1-Assumptions!$C$116*Assumptions!$F$169+Assumptions!$C$118*Assumptions!$F$171-Assumptions!$C$119*Assumptions!$F$169)*(1+Assumptions!Z$198))</f>
        <v>3861.52419622725</v>
      </c>
      <c r="AA37" s="65" t="n">
        <f aca="false">IF(AA$5="A",Inputs_Actuals!AA37,Z37*(1-Assumptions!$C$116*Assumptions!$F$169+Assumptions!$C$118*Assumptions!$F$171-Assumptions!$C$119*Assumptions!$F$169)*(1+Assumptions!AA$198))</f>
        <v>3814.7997534529</v>
      </c>
      <c r="AB37" s="65" t="n">
        <f aca="false">IF(AB$5="A",Inputs_Actuals!AB37,AA37*(1-Assumptions!$C$116*Assumptions!$F$169+Assumptions!$C$118*Assumptions!$F$171-Assumptions!$C$119*Assumptions!$F$169)*(1+Assumptions!AB$198))</f>
        <v>3768.64067643612</v>
      </c>
    </row>
    <row r="38" customFormat="false" ht="15" hidden="false" customHeight="false" outlineLevel="0" collapsed="false">
      <c r="A38" s="28" t="s">
        <v>901</v>
      </c>
      <c r="B38" s="63" t="s">
        <v>872</v>
      </c>
      <c r="C38" s="64" t="n">
        <f aca="false">P38</f>
        <v>3745.02558459351</v>
      </c>
      <c r="D38" s="64" t="n">
        <f aca="false">AB38</f>
        <v>3252.47343882419</v>
      </c>
      <c r="E38" s="74" t="n">
        <f aca="false">0</f>
        <v>0</v>
      </c>
      <c r="F38" s="74" t="n">
        <f aca="false">0</f>
        <v>0</v>
      </c>
      <c r="G38" s="74" t="n">
        <f aca="false">0</f>
        <v>0</v>
      </c>
      <c r="H38" s="74" t="n">
        <f aca="false">0</f>
        <v>0</v>
      </c>
      <c r="I38" s="65" t="n">
        <f aca="false">IF(I$5="A",Inputs_Actuals!I38,New_Business!I11)</f>
        <v>4499.94</v>
      </c>
      <c r="J38" s="65" t="n">
        <f aca="false">IF(J$5="A",Inputs_Actuals!J38,I38*(1-Assumptions!$C$112*Assumptions!$F$169+Assumptions!$C$118*Assumptions!$F$171-Assumptions!$C$119*Assumptions!$F$169)*(1+Assumptions!J$198))</f>
        <v>4202.07</v>
      </c>
      <c r="K38" s="65" t="n">
        <f aca="false">IF(K$5="A",Inputs_Actuals!K38,J38*(1-Assumptions!$C$112*Assumptions!$F$169+Assumptions!$C$118*Assumptions!$F$171-Assumptions!$C$119*Assumptions!$F$169)*(1+Assumptions!K$198))</f>
        <v>4233.42</v>
      </c>
      <c r="L38" s="65" t="n">
        <f aca="false">IF(L$5="A",Inputs_Actuals!L38,K38*(1-Assumptions!$C$112*Assumptions!$F$169+Assumptions!$C$118*Assumptions!$F$171-Assumptions!$C$119*Assumptions!$F$169)*(1+Assumptions!L$198))</f>
        <v>4071.85</v>
      </c>
      <c r="M38" s="65" t="n">
        <f aca="false">IF(M$5="A",Inputs_Actuals!M38,L38*(1-Assumptions!$C$114*Assumptions!$F$169+Assumptions!$C$118*Assumptions!$F$171-Assumptions!$C$119*Assumptions!$F$169)*(1+Assumptions!M$198))</f>
        <v>3987.562705</v>
      </c>
      <c r="N38" s="65" t="n">
        <f aca="false">IF(N$5="A",Inputs_Actuals!N38,M38*(1-Assumptions!$C$114*Assumptions!$F$169+Assumptions!$C$118*Assumptions!$F$171-Assumptions!$C$119*Assumptions!$F$169)*(1+Assumptions!N$198))</f>
        <v>3905.0201570065</v>
      </c>
      <c r="O38" s="65" t="n">
        <f aca="false">IF(O$5="A",Inputs_Actuals!O38,N38*(1-Assumptions!$C$114*Assumptions!$F$169+Assumptions!$C$118*Assumptions!$F$171-Assumptions!$C$119*Assumptions!$F$169)*(1+Assumptions!O$198))</f>
        <v>3824.18623975647</v>
      </c>
      <c r="P38" s="65" t="n">
        <f aca="false">IF(P$5="A",Inputs_Actuals!P38,O38*(1-Assumptions!$C$114*Assumptions!$F$169+Assumptions!$C$118*Assumptions!$F$171-Assumptions!$C$119*Assumptions!$F$169)*(1+Assumptions!P$198))</f>
        <v>3745.02558459351</v>
      </c>
      <c r="Q38" s="65" t="n">
        <f aca="false">IF(Q$5="A",Inputs_Actuals!Q38,P38*(1-Assumptions!$C$114*Assumptions!$F$169+Assumptions!$C$118*Assumptions!$F$171-Assumptions!$C$119*Assumptions!$F$169)*(1+Assumptions!Q$198))</f>
        <v>3850.87873274204</v>
      </c>
      <c r="R38" s="65" t="n">
        <f aca="false">IF(R$5="A",Inputs_Actuals!R38,Q38*(1-Assumptions!$C$114*Assumptions!$F$169+Assumptions!$C$118*Assumptions!$F$171-Assumptions!$C$119*Assumptions!$F$169)*(1+Assumptions!R$198))</f>
        <v>3771.16554297428</v>
      </c>
      <c r="S38" s="65" t="n">
        <f aca="false">IF(S$5="A",Inputs_Actuals!S38,R38*(1-Assumptions!$C$114*Assumptions!$F$169+Assumptions!$C$118*Assumptions!$F$171-Assumptions!$C$119*Assumptions!$F$169)*(1+Assumptions!S$198))</f>
        <v>3693.10241623472</v>
      </c>
      <c r="T38" s="65" t="n">
        <f aca="false">IF(T$5="A",Inputs_Actuals!T38,S38*(1-Assumptions!$C$114*Assumptions!$F$169+Assumptions!$C$118*Assumptions!$F$171-Assumptions!$C$119*Assumptions!$F$169)*(1+Assumptions!T$198))</f>
        <v>3616.65519621866</v>
      </c>
      <c r="U38" s="65" t="n">
        <f aca="false">IF(U$5="A",Inputs_Actuals!U38,T38*(1-Assumptions!$C$114*Assumptions!$F$169+Assumptions!$C$118*Assumptions!$F$171-Assumptions!$C$119*Assumptions!$F$169)*(1+Assumptions!U$198))</f>
        <v>3541.79043365693</v>
      </c>
      <c r="V38" s="65" t="n">
        <f aca="false">IF(V$5="A",Inputs_Actuals!V38,U38*(1-Assumptions!$C$116*Assumptions!$F$169+Assumptions!$C$118*Assumptions!$F$171-Assumptions!$C$119*Assumptions!$F$169)*(1+Assumptions!V$198))</f>
        <v>3498.93476940968</v>
      </c>
      <c r="W38" s="65" t="n">
        <f aca="false">IF(W$5="A",Inputs_Actuals!W38,V38*(1-Assumptions!$C$116*Assumptions!$F$169+Assumptions!$C$118*Assumptions!$F$171-Assumptions!$C$119*Assumptions!$F$169)*(1+Assumptions!W$198))</f>
        <v>3456.59765869983</v>
      </c>
      <c r="X38" s="65" t="n">
        <f aca="false">IF(X$5="A",Inputs_Actuals!X38,W38*(1-Assumptions!$C$116*Assumptions!$F$169+Assumptions!$C$118*Assumptions!$F$171-Assumptions!$C$119*Assumptions!$F$169)*(1+Assumptions!X$198))</f>
        <v>3414.77282702956</v>
      </c>
      <c r="Y38" s="65" t="n">
        <f aca="false">IF(Y$5="A",Inputs_Actuals!Y38,X38*(1-Assumptions!$C$116*Assumptions!$F$169+Assumptions!$C$118*Assumptions!$F$171-Assumptions!$C$119*Assumptions!$F$169)*(1+Assumptions!Y$198))</f>
        <v>3373.4540758225</v>
      </c>
      <c r="Z38" s="65" t="n">
        <f aca="false">IF(Z$5="A",Inputs_Actuals!Z38,Y38*(1-Assumptions!$C$116*Assumptions!$F$169+Assumptions!$C$118*Assumptions!$F$171-Assumptions!$C$119*Assumptions!$F$169)*(1+Assumptions!Z$198))</f>
        <v>3332.63528150505</v>
      </c>
      <c r="AA38" s="65" t="n">
        <f aca="false">IF(AA$5="A",Inputs_Actuals!AA38,Z38*(1-Assumptions!$C$116*Assumptions!$F$169+Assumptions!$C$118*Assumptions!$F$171-Assumptions!$C$119*Assumptions!$F$169)*(1+Assumptions!AA$198))</f>
        <v>3292.31039459884</v>
      </c>
      <c r="AB38" s="65" t="n">
        <f aca="false">IF(AB$5="A",Inputs_Actuals!AB38,AA38*(1-Assumptions!$C$116*Assumptions!$F$169+Assumptions!$C$118*Assumptions!$F$171-Assumptions!$C$119*Assumptions!$F$169)*(1+Assumptions!AB$198))</f>
        <v>3252.47343882419</v>
      </c>
    </row>
    <row r="39" customFormat="false" ht="15" hidden="false" customHeight="false" outlineLevel="0" collapsed="false">
      <c r="A39" s="28" t="s">
        <v>902</v>
      </c>
      <c r="B39" s="63" t="s">
        <v>872</v>
      </c>
      <c r="C39" s="64" t="n">
        <f aca="false">P39</f>
        <v>5589.0875981934</v>
      </c>
      <c r="D39" s="64" t="n">
        <f aca="false">AB39</f>
        <v>4811.74556943843</v>
      </c>
      <c r="E39" s="74" t="n">
        <f aca="false">0</f>
        <v>0</v>
      </c>
      <c r="F39" s="74" t="n">
        <f aca="false">0</f>
        <v>0</v>
      </c>
      <c r="G39" s="74" t="n">
        <f aca="false">0</f>
        <v>0</v>
      </c>
      <c r="H39" s="74" t="n">
        <f aca="false">0</f>
        <v>0</v>
      </c>
      <c r="I39" s="74" t="n">
        <f aca="false">0</f>
        <v>0</v>
      </c>
      <c r="J39" s="65" t="n">
        <f aca="false">IF(J$5="A",Inputs_Actuals!J39,New_Business!J11)</f>
        <v>6642.93</v>
      </c>
      <c r="K39" s="65" t="n">
        <f aca="false">IF(K$5="A",Inputs_Actuals!K39,J39*(1-Assumptions!$C$112*Assumptions!$F$169+Assumptions!$C$118*Assumptions!$F$171-Assumptions!$C$119*Assumptions!$F$169)*(1+Assumptions!K$198))</f>
        <v>6471.32</v>
      </c>
      <c r="L39" s="65" t="n">
        <f aca="false">IF(L$5="A",Inputs_Actuals!L39,K39*(1-Assumptions!$C$112*Assumptions!$F$169+Assumptions!$C$118*Assumptions!$F$171-Assumptions!$C$119*Assumptions!$F$169)*(1+Assumptions!L$198))</f>
        <v>6163.06</v>
      </c>
      <c r="M39" s="65" t="n">
        <f aca="false">IF(M$5="A",Inputs_Actuals!M39,L39*(1-Assumptions!$C$112*Assumptions!$F$169+Assumptions!$C$118*Assumptions!$F$171-Assumptions!$C$119*Assumptions!$F$169)*(1+Assumptions!M$198))</f>
        <v>5951.050736</v>
      </c>
      <c r="N39" s="65" t="n">
        <f aca="false">IF(N$5="A",Inputs_Actuals!N39,M39*(1-Assumptions!$C$114*Assumptions!$F$169+Assumptions!$C$118*Assumptions!$F$171-Assumptions!$C$119*Assumptions!$F$169)*(1+Assumptions!N$198))</f>
        <v>5827.8639857648</v>
      </c>
      <c r="O39" s="65" t="n">
        <f aca="false">IF(O$5="A",Inputs_Actuals!O39,N39*(1-Assumptions!$C$114*Assumptions!$F$169+Assumptions!$C$118*Assumptions!$F$171-Assumptions!$C$119*Assumptions!$F$169)*(1+Assumptions!O$198))</f>
        <v>5707.22720125947</v>
      </c>
      <c r="P39" s="65" t="n">
        <f aca="false">IF(P$5="A",Inputs_Actuals!P39,O39*(1-Assumptions!$C$114*Assumptions!$F$169+Assumptions!$C$118*Assumptions!$F$171-Assumptions!$C$119*Assumptions!$F$169)*(1+Assumptions!P$198))</f>
        <v>5589.0875981934</v>
      </c>
      <c r="Q39" s="65" t="n">
        <f aca="false">IF(Q$5="A",Inputs_Actuals!Q39,P39*(1-Assumptions!$C$114*Assumptions!$F$169+Assumptions!$C$118*Assumptions!$F$171-Assumptions!$C$119*Assumptions!$F$169)*(1+Assumptions!Q$198))</f>
        <v>5747.06315915634</v>
      </c>
      <c r="R39" s="65" t="n">
        <f aca="false">IF(R$5="A",Inputs_Actuals!R39,Q39*(1-Assumptions!$C$114*Assumptions!$F$169+Assumptions!$C$118*Assumptions!$F$171-Assumptions!$C$119*Assumptions!$F$169)*(1+Assumptions!R$198))</f>
        <v>5628.0989517618</v>
      </c>
      <c r="S39" s="65" t="n">
        <f aca="false">IF(S$5="A",Inputs_Actuals!S39,R39*(1-Assumptions!$C$114*Assumptions!$F$169+Assumptions!$C$118*Assumptions!$F$171-Assumptions!$C$119*Assumptions!$F$169)*(1+Assumptions!S$198))</f>
        <v>5511.59730346033</v>
      </c>
      <c r="T39" s="65" t="n">
        <f aca="false">IF(T$5="A",Inputs_Actuals!T39,S39*(1-Assumptions!$C$114*Assumptions!$F$169+Assumptions!$C$118*Assumptions!$F$171-Assumptions!$C$119*Assumptions!$F$169)*(1+Assumptions!T$198))</f>
        <v>5397.5072392787</v>
      </c>
      <c r="U39" s="65" t="n">
        <f aca="false">IF(U$5="A",Inputs_Actuals!U39,T39*(1-Assumptions!$C$114*Assumptions!$F$169+Assumptions!$C$118*Assumptions!$F$171-Assumptions!$C$119*Assumptions!$F$169)*(1+Assumptions!U$198))</f>
        <v>5285.77883942563</v>
      </c>
      <c r="V39" s="65" t="n">
        <f aca="false">IF(V$5="A",Inputs_Actuals!V39,U39*(1-Assumptions!$C$114*Assumptions!$F$169+Assumptions!$C$118*Assumptions!$F$171-Assumptions!$C$119*Assumptions!$F$169)*(1+Assumptions!V$198))</f>
        <v>5176.36321744952</v>
      </c>
      <c r="W39" s="65" t="n">
        <f aca="false">IF(W$5="A",Inputs_Actuals!W39,V39*(1-Assumptions!$C$116*Assumptions!$F$169+Assumptions!$C$118*Assumptions!$F$171-Assumptions!$C$119*Assumptions!$F$169)*(1+Assumptions!W$198))</f>
        <v>5113.72922251838</v>
      </c>
      <c r="X39" s="65" t="n">
        <f aca="false">IF(X$5="A",Inputs_Actuals!X39,W39*(1-Assumptions!$C$116*Assumptions!$F$169+Assumptions!$C$118*Assumptions!$F$171-Assumptions!$C$119*Assumptions!$F$169)*(1+Assumptions!X$198))</f>
        <v>5051.85309892591</v>
      </c>
      <c r="Y39" s="65" t="n">
        <f aca="false">IF(Y$5="A",Inputs_Actuals!Y39,X39*(1-Assumptions!$C$116*Assumptions!$F$169+Assumptions!$C$118*Assumptions!$F$171-Assumptions!$C$119*Assumptions!$F$169)*(1+Assumptions!Y$198))</f>
        <v>4990.72567642891</v>
      </c>
      <c r="Z39" s="65" t="n">
        <f aca="false">IF(Z$5="A",Inputs_Actuals!Z39,Y39*(1-Assumptions!$C$116*Assumptions!$F$169+Assumptions!$C$118*Assumptions!$F$171-Assumptions!$C$119*Assumptions!$F$169)*(1+Assumptions!Z$198))</f>
        <v>4930.33789574412</v>
      </c>
      <c r="AA39" s="65" t="n">
        <f aca="false">IF(AA$5="A",Inputs_Actuals!AA39,Z39*(1-Assumptions!$C$116*Assumptions!$F$169+Assumptions!$C$118*Assumptions!$F$171-Assumptions!$C$119*Assumptions!$F$169)*(1+Assumptions!AA$198))</f>
        <v>4870.68080720561</v>
      </c>
      <c r="AB39" s="65" t="n">
        <f aca="false">IF(AB$5="A",Inputs_Actuals!AB39,AA39*(1-Assumptions!$C$116*Assumptions!$F$169+Assumptions!$C$118*Assumptions!$F$171-Assumptions!$C$119*Assumptions!$F$169)*(1+Assumptions!AB$198))</f>
        <v>4811.74556943843</v>
      </c>
    </row>
    <row r="40" customFormat="false" ht="15" hidden="false" customHeight="false" outlineLevel="0" collapsed="false">
      <c r="A40" s="28" t="s">
        <v>903</v>
      </c>
      <c r="B40" s="63" t="s">
        <v>872</v>
      </c>
      <c r="C40" s="64" t="n">
        <f aca="false">P40</f>
        <v>5370.17218998074</v>
      </c>
      <c r="D40" s="64" t="n">
        <f aca="false">AB40</f>
        <v>4583.03019921064</v>
      </c>
      <c r="E40" s="74" t="n">
        <f aca="false">0</f>
        <v>0</v>
      </c>
      <c r="F40" s="74" t="n">
        <f aca="false">0</f>
        <v>0</v>
      </c>
      <c r="G40" s="74" t="n">
        <f aca="false">0</f>
        <v>0</v>
      </c>
      <c r="H40" s="74" t="n">
        <f aca="false">0</f>
        <v>0</v>
      </c>
      <c r="I40" s="74" t="n">
        <f aca="false">0</f>
        <v>0</v>
      </c>
      <c r="J40" s="74" t="n">
        <f aca="false">0</f>
        <v>0</v>
      </c>
      <c r="K40" s="65" t="n">
        <f aca="false">IF(K$5="A",Inputs_Actuals!K40,New_Business!K11)</f>
        <v>6680.55</v>
      </c>
      <c r="L40" s="65" t="n">
        <f aca="false">IF(L$5="A",Inputs_Actuals!L40,K40*(1-Assumptions!$C$112*Assumptions!$F$169+Assumptions!$C$118*Assumptions!$F$171-Assumptions!$C$119*Assumptions!$F$169)*(1+Assumptions!L$198))</f>
        <v>6005.68</v>
      </c>
      <c r="M40" s="65" t="n">
        <f aca="false">IF(M$5="A",Inputs_Actuals!M40,L40*(1-Assumptions!$C$112*Assumptions!$F$169+Assumptions!$C$118*Assumptions!$F$171-Assumptions!$C$119*Assumptions!$F$169)*(1+Assumptions!M$198))</f>
        <v>5799.084608</v>
      </c>
      <c r="N40" s="65" t="n">
        <f aca="false">IF(N$5="A",Inputs_Actuals!N40,M40*(1-Assumptions!$C$112*Assumptions!$F$169+Assumptions!$C$118*Assumptions!$F$171-Assumptions!$C$119*Assumptions!$F$169)*(1+Assumptions!N$198))</f>
        <v>5599.5960974848</v>
      </c>
      <c r="O40" s="65" t="n">
        <f aca="false">IF(O$5="A",Inputs_Actuals!O40,N40*(1-Assumptions!$C$114*Assumptions!$F$169+Assumptions!$C$118*Assumptions!$F$171-Assumptions!$C$119*Assumptions!$F$169)*(1+Assumptions!O$198))</f>
        <v>5483.68445826687</v>
      </c>
      <c r="P40" s="65" t="n">
        <f aca="false">IF(P$5="A",Inputs_Actuals!P40,O40*(1-Assumptions!$C$114*Assumptions!$F$169+Assumptions!$C$118*Assumptions!$F$171-Assumptions!$C$119*Assumptions!$F$169)*(1+Assumptions!P$198))</f>
        <v>5370.17218998074</v>
      </c>
      <c r="Q40" s="65" t="n">
        <f aca="false">IF(Q$5="A",Inputs_Actuals!Q40,P40*(1-Assumptions!$C$114*Assumptions!$F$169+Assumptions!$C$118*Assumptions!$F$171-Assumptions!$C$119*Assumptions!$F$169)*(1+Assumptions!Q$198))</f>
        <v>5521.96010693055</v>
      </c>
      <c r="R40" s="65" t="n">
        <f aca="false">IF(R$5="A",Inputs_Actuals!R40,Q40*(1-Assumptions!$C$114*Assumptions!$F$169+Assumptions!$C$118*Assumptions!$F$171-Assumptions!$C$119*Assumptions!$F$169)*(1+Assumptions!R$198))</f>
        <v>5407.65553271709</v>
      </c>
      <c r="S40" s="65" t="n">
        <f aca="false">IF(S$5="A",Inputs_Actuals!S40,R40*(1-Assumptions!$C$114*Assumptions!$F$169+Assumptions!$C$118*Assumptions!$F$171-Assumptions!$C$119*Assumptions!$F$169)*(1+Assumptions!S$198))</f>
        <v>5295.71706318984</v>
      </c>
      <c r="T40" s="65" t="n">
        <f aca="false">IF(T$5="A",Inputs_Actuals!T40,S40*(1-Assumptions!$C$114*Assumptions!$F$169+Assumptions!$C$118*Assumptions!$F$171-Assumptions!$C$119*Assumptions!$F$169)*(1+Assumptions!T$198))</f>
        <v>5186.09571998181</v>
      </c>
      <c r="U40" s="65" t="n">
        <f aca="false">IF(U$5="A",Inputs_Actuals!U40,T40*(1-Assumptions!$C$114*Assumptions!$F$169+Assumptions!$C$118*Assumptions!$F$171-Assumptions!$C$119*Assumptions!$F$169)*(1+Assumptions!U$198))</f>
        <v>5078.74353857819</v>
      </c>
      <c r="V40" s="65" t="n">
        <f aca="false">IF(V$5="A",Inputs_Actuals!V40,U40*(1-Assumptions!$C$114*Assumptions!$F$169+Assumptions!$C$118*Assumptions!$F$171-Assumptions!$C$119*Assumptions!$F$169)*(1+Assumptions!V$198))</f>
        <v>4973.61354732962</v>
      </c>
      <c r="W40" s="65" t="n">
        <f aca="false">IF(W$5="A",Inputs_Actuals!W40,V40*(1-Assumptions!$C$114*Assumptions!$F$169+Assumptions!$C$118*Assumptions!$F$171-Assumptions!$C$119*Assumptions!$F$169)*(1+Assumptions!W$198))</f>
        <v>4870.6597468999</v>
      </c>
      <c r="X40" s="65" t="n">
        <f aca="false">IF(X$5="A",Inputs_Actuals!X40,W40*(1-Assumptions!$C$116*Assumptions!$F$169+Assumptions!$C$118*Assumptions!$F$171-Assumptions!$C$119*Assumptions!$F$169)*(1+Assumptions!X$198))</f>
        <v>4811.72476396241</v>
      </c>
      <c r="Y40" s="65" t="n">
        <f aca="false">IF(Y$5="A",Inputs_Actuals!Y40,X40*(1-Assumptions!$C$116*Assumptions!$F$169+Assumptions!$C$118*Assumptions!$F$171-Assumptions!$C$119*Assumptions!$F$169)*(1+Assumptions!Y$198))</f>
        <v>4753.50289431847</v>
      </c>
      <c r="Z40" s="65" t="n">
        <f aca="false">IF(Z$5="A",Inputs_Actuals!Z40,Y40*(1-Assumptions!$C$116*Assumptions!$F$169+Assumptions!$C$118*Assumptions!$F$171-Assumptions!$C$119*Assumptions!$F$169)*(1+Assumptions!Z$198))</f>
        <v>4695.98550929721</v>
      </c>
      <c r="AA40" s="65" t="n">
        <f aca="false">IF(AA$5="A",Inputs_Actuals!AA40,Z40*(1-Assumptions!$C$116*Assumptions!$F$169+Assumptions!$C$118*Assumptions!$F$171-Assumptions!$C$119*Assumptions!$F$169)*(1+Assumptions!AA$198))</f>
        <v>4639.16408463472</v>
      </c>
      <c r="AB40" s="65" t="n">
        <f aca="false">IF(AB$5="A",Inputs_Actuals!AB40,AA40*(1-Assumptions!$C$116*Assumptions!$F$169+Assumptions!$C$118*Assumptions!$F$171-Assumptions!$C$119*Assumptions!$F$169)*(1+Assumptions!AB$198))</f>
        <v>4583.03019921064</v>
      </c>
    </row>
    <row r="41" customFormat="false" ht="15" hidden="false" customHeight="false" outlineLevel="0" collapsed="false">
      <c r="A41" s="28" t="s">
        <v>904</v>
      </c>
      <c r="B41" s="63" t="s">
        <v>872</v>
      </c>
      <c r="C41" s="64" t="n">
        <f aca="false">P41</f>
        <v>3878.69098953476</v>
      </c>
      <c r="D41" s="64" t="n">
        <f aca="false">AB41</f>
        <v>3281.34925905875</v>
      </c>
      <c r="E41" s="74" t="n">
        <f aca="false">0</f>
        <v>0</v>
      </c>
      <c r="F41" s="74" t="n">
        <f aca="false">0</f>
        <v>0</v>
      </c>
      <c r="G41" s="74" t="n">
        <f aca="false">0</f>
        <v>0</v>
      </c>
      <c r="H41" s="74" t="n">
        <f aca="false">0</f>
        <v>0</v>
      </c>
      <c r="I41" s="74" t="n">
        <f aca="false">0</f>
        <v>0</v>
      </c>
      <c r="J41" s="74" t="n">
        <f aca="false">0</f>
        <v>0</v>
      </c>
      <c r="K41" s="74" t="n">
        <f aca="false">0</f>
        <v>0</v>
      </c>
      <c r="L41" s="65" t="n">
        <f aca="false">IF(L$5="A",Inputs_Actuals!L41,New_Business!L11)</f>
        <v>4399.24</v>
      </c>
      <c r="M41" s="65" t="n">
        <f aca="false">IF(M$5="A",Inputs_Actuals!M41,L41*(1-Assumptions!$C$112*Assumptions!$F$169+Assumptions!$C$118*Assumptions!$F$171-Assumptions!$C$119*Assumptions!$F$169)*(1+Assumptions!M$198))</f>
        <v>4247.906144</v>
      </c>
      <c r="N41" s="65" t="n">
        <f aca="false">IF(N$5="A",Inputs_Actuals!N41,M41*(1-Assumptions!$C$112*Assumptions!$F$169+Assumptions!$C$118*Assumptions!$F$171-Assumptions!$C$119*Assumptions!$F$169)*(1+Assumptions!N$198))</f>
        <v>4101.7781726464</v>
      </c>
      <c r="O41" s="65" t="n">
        <f aca="false">IF(O$5="A",Inputs_Actuals!O41,N41*(1-Assumptions!$C$112*Assumptions!$F$169+Assumptions!$C$118*Assumptions!$F$171-Assumptions!$C$119*Assumptions!$F$169)*(1+Assumptions!O$198))</f>
        <v>3960.67700350736</v>
      </c>
      <c r="P41" s="65" t="n">
        <f aca="false">IF(P$5="A",Inputs_Actuals!P41,O41*(1-Assumptions!$C$114*Assumptions!$F$169+Assumptions!$C$118*Assumptions!$F$171-Assumptions!$C$119*Assumptions!$F$169)*(1+Assumptions!P$198))</f>
        <v>3878.69098953476</v>
      </c>
      <c r="Q41" s="65" t="n">
        <f aca="false">IF(Q$5="A",Inputs_Actuals!Q41,P41*(1-Assumptions!$C$114*Assumptions!$F$169+Assumptions!$C$118*Assumptions!$F$171-Assumptions!$C$119*Assumptions!$F$169)*(1+Assumptions!Q$198))</f>
        <v>3988.32219035396</v>
      </c>
      <c r="R41" s="65" t="n">
        <f aca="false">IF(R$5="A",Inputs_Actuals!R41,Q41*(1-Assumptions!$C$114*Assumptions!$F$169+Assumptions!$C$118*Assumptions!$F$171-Assumptions!$C$119*Assumptions!$F$169)*(1+Assumptions!R$198))</f>
        <v>3905.76392101364</v>
      </c>
      <c r="S41" s="65" t="n">
        <f aca="false">IF(S$5="A",Inputs_Actuals!S41,R41*(1-Assumptions!$C$114*Assumptions!$F$169+Assumptions!$C$118*Assumptions!$F$171-Assumptions!$C$119*Assumptions!$F$169)*(1+Assumptions!S$198))</f>
        <v>3824.91460784865</v>
      </c>
      <c r="T41" s="65" t="n">
        <f aca="false">IF(T$5="A",Inputs_Actuals!T41,S41*(1-Assumptions!$C$114*Assumptions!$F$169+Assumptions!$C$118*Assumptions!$F$171-Assumptions!$C$119*Assumptions!$F$169)*(1+Assumptions!T$198))</f>
        <v>3745.73887546619</v>
      </c>
      <c r="U41" s="65" t="n">
        <f aca="false">IF(U$5="A",Inputs_Actuals!U41,T41*(1-Assumptions!$C$114*Assumptions!$F$169+Assumptions!$C$118*Assumptions!$F$171-Assumptions!$C$119*Assumptions!$F$169)*(1+Assumptions!U$198))</f>
        <v>3668.20208074404</v>
      </c>
      <c r="V41" s="65" t="n">
        <f aca="false">IF(V$5="A",Inputs_Actuals!V41,U41*(1-Assumptions!$C$114*Assumptions!$F$169+Assumptions!$C$118*Assumptions!$F$171-Assumptions!$C$119*Assumptions!$F$169)*(1+Assumptions!V$198))</f>
        <v>3592.27029767264</v>
      </c>
      <c r="W41" s="65" t="n">
        <f aca="false">IF(W$5="A",Inputs_Actuals!W41,V41*(1-Assumptions!$C$114*Assumptions!$F$169+Assumptions!$C$118*Assumptions!$F$171-Assumptions!$C$119*Assumptions!$F$169)*(1+Assumptions!W$198))</f>
        <v>3517.91030251081</v>
      </c>
      <c r="X41" s="65" t="n">
        <f aca="false">IF(X$5="A",Inputs_Actuals!X41,W41*(1-Assumptions!$C$114*Assumptions!$F$169+Assumptions!$C$118*Assumptions!$F$171-Assumptions!$C$119*Assumptions!$F$169)*(1+Assumptions!X$198))</f>
        <v>3445.08955924884</v>
      </c>
      <c r="Y41" s="65" t="n">
        <f aca="false">IF(Y$5="A",Inputs_Actuals!Y41,X41*(1-Assumptions!$C$116*Assumptions!$F$169+Assumptions!$C$118*Assumptions!$F$171-Assumptions!$C$119*Assumptions!$F$169)*(1+Assumptions!Y$198))</f>
        <v>3403.40397558193</v>
      </c>
      <c r="Z41" s="65" t="n">
        <f aca="false">IF(Z$5="A",Inputs_Actuals!Z41,Y41*(1-Assumptions!$C$116*Assumptions!$F$169+Assumptions!$C$118*Assumptions!$F$171-Assumptions!$C$119*Assumptions!$F$169)*(1+Assumptions!Z$198))</f>
        <v>3362.22278747739</v>
      </c>
      <c r="AA41" s="65" t="n">
        <f aca="false">IF(AA$5="A",Inputs_Actuals!AA41,Z41*(1-Assumptions!$C$116*Assumptions!$F$169+Assumptions!$C$118*Assumptions!$F$171-Assumptions!$C$119*Assumptions!$F$169)*(1+Assumptions!AA$198))</f>
        <v>3321.53989174891</v>
      </c>
      <c r="AB41" s="65" t="n">
        <f aca="false">IF(AB$5="A",Inputs_Actuals!AB41,AA41*(1-Assumptions!$C$116*Assumptions!$F$169+Assumptions!$C$118*Assumptions!$F$171-Assumptions!$C$119*Assumptions!$F$169)*(1+Assumptions!AB$198))</f>
        <v>3281.34925905875</v>
      </c>
    </row>
    <row r="42" customFormat="false" ht="15" hidden="false" customHeight="false" outlineLevel="0" collapsed="false">
      <c r="A42" s="28" t="s">
        <v>905</v>
      </c>
      <c r="B42" s="63" t="s">
        <v>872</v>
      </c>
      <c r="C42" s="64" t="n">
        <f aca="false">P42</f>
        <v>6089.07228186423</v>
      </c>
      <c r="D42" s="64" t="n">
        <f aca="false">AB42</f>
        <v>5106.47459261241</v>
      </c>
      <c r="E42" s="74" t="n">
        <f aca="false">0</f>
        <v>0</v>
      </c>
      <c r="F42" s="74" t="n">
        <f aca="false">0</f>
        <v>0</v>
      </c>
      <c r="G42" s="74" t="n">
        <f aca="false">0</f>
        <v>0</v>
      </c>
      <c r="H42" s="74" t="n">
        <f aca="false">0</f>
        <v>0</v>
      </c>
      <c r="I42" s="74" t="n">
        <f aca="false">0</f>
        <v>0</v>
      </c>
      <c r="J42" s="74" t="n">
        <f aca="false">0</f>
        <v>0</v>
      </c>
      <c r="K42" s="74" t="n">
        <f aca="false">0</f>
        <v>0</v>
      </c>
      <c r="L42" s="74" t="n">
        <f aca="false">0</f>
        <v>0</v>
      </c>
      <c r="M42" s="65" t="n">
        <f aca="false">IF(M$5="A",0,New_Business!M11)</f>
        <v>6763.311</v>
      </c>
      <c r="N42" s="65" t="n">
        <f aca="false">IF(N$5="A",0,M42*(1-Assumptions!$C$112*Assumptions!$F$169+Assumptions!$C$118*Assumptions!$F$171-Assumptions!$C$119*Assumptions!$F$169)*(1+Assumptions!N$198))</f>
        <v>6530.6531016</v>
      </c>
      <c r="O42" s="65" t="n">
        <f aca="false">IF(O$5="A",0,N42*(1-Assumptions!$C$112*Assumptions!$F$169+Assumptions!$C$118*Assumptions!$F$171-Assumptions!$C$119*Assumptions!$F$169)*(1+Assumptions!O$198))</f>
        <v>6305.99863490496</v>
      </c>
      <c r="P42" s="65" t="n">
        <f aca="false">IF(P$5="A",0,O42*(1-Assumptions!$C$112*Assumptions!$F$169+Assumptions!$C$118*Assumptions!$F$171-Assumptions!$C$119*Assumptions!$F$169)*(1+Assumptions!P$198))</f>
        <v>6089.07228186423</v>
      </c>
      <c r="Q42" s="65" t="n">
        <f aca="false">IF(Q$5="A",0,P42*(1-Assumptions!$C$114*Assumptions!$F$169+Assumptions!$C$118*Assumptions!$F$171-Assumptions!$C$119*Assumptions!$F$169)*(1+Assumptions!Q$198))</f>
        <v>6261.17990991112</v>
      </c>
      <c r="R42" s="65" t="n">
        <f aca="false">IF(R$5="A",0,Q42*(1-Assumptions!$C$114*Assumptions!$F$169+Assumptions!$C$118*Assumptions!$F$171-Assumptions!$C$119*Assumptions!$F$169)*(1+Assumptions!R$198))</f>
        <v>6131.57348577596</v>
      </c>
      <c r="S42" s="65" t="n">
        <f aca="false">IF(S$5="A",0,R42*(1-Assumptions!$C$114*Assumptions!$F$169+Assumptions!$C$118*Assumptions!$F$171-Assumptions!$C$119*Assumptions!$F$169)*(1+Assumptions!S$198))</f>
        <v>6004.6499146204</v>
      </c>
      <c r="T42" s="65" t="n">
        <f aca="false">IF(T$5="A",0,S42*(1-Assumptions!$C$114*Assumptions!$F$169+Assumptions!$C$118*Assumptions!$F$171-Assumptions!$C$119*Assumptions!$F$169)*(1+Assumptions!T$198))</f>
        <v>5880.35366138776</v>
      </c>
      <c r="U42" s="65" t="n">
        <f aca="false">IF(U$5="A",0,T42*(1-Assumptions!$C$114*Assumptions!$F$169+Assumptions!$C$118*Assumptions!$F$171-Assumptions!$C$119*Assumptions!$F$169)*(1+Assumptions!U$198))</f>
        <v>5758.63034059703</v>
      </c>
      <c r="V42" s="65" t="n">
        <f aca="false">IF(V$5="A",0,U42*(1-Assumptions!$C$114*Assumptions!$F$169+Assumptions!$C$118*Assumptions!$F$171-Assumptions!$C$119*Assumptions!$F$169)*(1+Assumptions!V$198))</f>
        <v>5639.42669254667</v>
      </c>
      <c r="W42" s="65" t="n">
        <f aca="false">IF(W$5="A",0,V42*(1-Assumptions!$C$114*Assumptions!$F$169+Assumptions!$C$118*Assumptions!$F$171-Assumptions!$C$119*Assumptions!$F$169)*(1+Assumptions!W$198))</f>
        <v>5522.69056001096</v>
      </c>
      <c r="X42" s="65" t="n">
        <f aca="false">IF(X$5="A",0,W42*(1-Assumptions!$C$114*Assumptions!$F$169+Assumptions!$C$118*Assumptions!$F$171-Assumptions!$C$119*Assumptions!$F$169)*(1+Assumptions!X$198))</f>
        <v>5408.37086541873</v>
      </c>
      <c r="Y42" s="65" t="n">
        <f aca="false">IF(Y$5="A",0,X42*(1-Assumptions!$C$114*Assumptions!$F$169+Assumptions!$C$118*Assumptions!$F$171-Assumptions!$C$119*Assumptions!$F$169)*(1+Assumptions!Y$198))</f>
        <v>5296.41758850456</v>
      </c>
      <c r="Z42" s="65" t="n">
        <f aca="false">IF(Z$5="A",0,Y42*(1-Assumptions!$C$116*Assumptions!$F$169+Assumptions!$C$118*Assumptions!$F$171-Assumptions!$C$119*Assumptions!$F$169)*(1+Assumptions!Z$198))</f>
        <v>5232.33093568366</v>
      </c>
      <c r="AA42" s="65" t="n">
        <f aca="false">IF(AA$5="A",0,Z42*(1-Assumptions!$C$116*Assumptions!$F$169+Assumptions!$C$118*Assumptions!$F$171-Assumptions!$C$119*Assumptions!$F$169)*(1+Assumptions!AA$198))</f>
        <v>5169.01973136189</v>
      </c>
      <c r="AB42" s="65" t="n">
        <f aca="false">IF(AB$5="A",0,AA42*(1-Assumptions!$C$116*Assumptions!$F$169+Assumptions!$C$118*Assumptions!$F$171-Assumptions!$C$119*Assumptions!$F$169)*(1+Assumptions!AB$198))</f>
        <v>5106.47459261241</v>
      </c>
    </row>
    <row r="43" customFormat="false" ht="15" hidden="false" customHeight="false" outlineLevel="0" collapsed="false">
      <c r="A43" s="28" t="s">
        <v>906</v>
      </c>
      <c r="B43" s="63" t="s">
        <v>872</v>
      </c>
      <c r="C43" s="64" t="n">
        <f aca="false">P43</f>
        <v>6539.33969172864</v>
      </c>
      <c r="D43" s="64" t="n">
        <f aca="false">AB43</f>
        <v>5360.28912368021</v>
      </c>
      <c r="E43" s="74" t="n">
        <f aca="false">0</f>
        <v>0</v>
      </c>
      <c r="F43" s="74" t="n">
        <f aca="false">0</f>
        <v>0</v>
      </c>
      <c r="G43" s="74" t="n">
        <f aca="false">0</f>
        <v>0</v>
      </c>
      <c r="H43" s="74" t="n">
        <f aca="false">0</f>
        <v>0</v>
      </c>
      <c r="I43" s="74" t="n">
        <f aca="false">0</f>
        <v>0</v>
      </c>
      <c r="J43" s="74" t="n">
        <f aca="false">0</f>
        <v>0</v>
      </c>
      <c r="K43" s="74" t="n">
        <f aca="false">0</f>
        <v>0</v>
      </c>
      <c r="L43" s="74" t="n">
        <f aca="false">0</f>
        <v>0</v>
      </c>
      <c r="M43" s="74" t="n">
        <f aca="false">0</f>
        <v>0</v>
      </c>
      <c r="N43" s="65" t="n">
        <f aca="false">IF(N$5="A",0,New_Business!N11)</f>
        <v>7013.574</v>
      </c>
      <c r="O43" s="65" t="n">
        <f aca="false">IF(O$5="A",0,N43*(1-Assumptions!$C$112*Assumptions!$F$169+Assumptions!$C$118*Assumptions!$F$171-Assumptions!$C$119*Assumptions!$F$169)*(1+Assumptions!O$198))</f>
        <v>6772.3070544</v>
      </c>
      <c r="P43" s="65" t="n">
        <f aca="false">IF(P$5="A",0,O43*(1-Assumptions!$C$112*Assumptions!$F$169+Assumptions!$C$118*Assumptions!$F$171-Assumptions!$C$119*Assumptions!$F$169)*(1+Assumptions!P$198))</f>
        <v>6539.33969172864</v>
      </c>
      <c r="Q43" s="65" t="n">
        <f aca="false">IF(Q$5="A",0,P43*(1-Assumptions!$C$112*Assumptions!$F$169+Assumptions!$C$118*Assumptions!$F$171-Assumptions!$C$119*Assumptions!$F$169)*(1+Assumptions!Q$198))</f>
        <v>6630.10572664983</v>
      </c>
      <c r="R43" s="65" t="n">
        <f aca="false">IF(R$5="A",0,Q43*(1-Assumptions!$C$114*Assumptions!$F$169+Assumptions!$C$118*Assumptions!$F$171-Assumptions!$C$119*Assumptions!$F$169)*(1+Assumptions!R$198))</f>
        <v>6492.86253810818</v>
      </c>
      <c r="S43" s="65" t="n">
        <f aca="false">IF(S$5="A",0,R43*(1-Assumptions!$C$114*Assumptions!$F$169+Assumptions!$C$118*Assumptions!$F$171-Assumptions!$C$119*Assumptions!$F$169)*(1+Assumptions!S$198))</f>
        <v>6358.46028356934</v>
      </c>
      <c r="T43" s="65" t="n">
        <f aca="false">IF(T$5="A",0,S43*(1-Assumptions!$C$114*Assumptions!$F$169+Assumptions!$C$118*Assumptions!$F$171-Assumptions!$C$119*Assumptions!$F$169)*(1+Assumptions!T$198))</f>
        <v>6226.84015569946</v>
      </c>
      <c r="U43" s="65" t="n">
        <f aca="false">IF(U$5="A",0,T43*(1-Assumptions!$C$114*Assumptions!$F$169+Assumptions!$C$118*Assumptions!$F$171-Assumptions!$C$119*Assumptions!$F$169)*(1+Assumptions!U$198))</f>
        <v>6097.94456447648</v>
      </c>
      <c r="V43" s="65" t="n">
        <f aca="false">IF(V$5="A",0,U43*(1-Assumptions!$C$114*Assumptions!$F$169+Assumptions!$C$118*Assumptions!$F$171-Assumptions!$C$119*Assumptions!$F$169)*(1+Assumptions!V$198))</f>
        <v>5971.71711199182</v>
      </c>
      <c r="W43" s="65" t="n">
        <f aca="false">IF(W$5="A",0,V43*(1-Assumptions!$C$114*Assumptions!$F$169+Assumptions!$C$118*Assumptions!$F$171-Assumptions!$C$119*Assumptions!$F$169)*(1+Assumptions!W$198))</f>
        <v>5848.10256777359</v>
      </c>
      <c r="X43" s="65" t="n">
        <f aca="false">IF(X$5="A",0,W43*(1-Assumptions!$C$114*Assumptions!$F$169+Assumptions!$C$118*Assumptions!$F$171-Assumptions!$C$119*Assumptions!$F$169)*(1+Assumptions!X$198))</f>
        <v>5727.04684462067</v>
      </c>
      <c r="Y43" s="65" t="n">
        <f aca="false">IF(Y$5="A",0,X43*(1-Assumptions!$C$114*Assumptions!$F$169+Assumptions!$C$118*Assumptions!$F$171-Assumptions!$C$119*Assumptions!$F$169)*(1+Assumptions!Y$198))</f>
        <v>5608.49697493703</v>
      </c>
      <c r="Z43" s="65" t="n">
        <f aca="false">IF(Z$5="A",0,Y43*(1-Assumptions!$C$114*Assumptions!$F$169+Assumptions!$C$118*Assumptions!$F$171-Assumptions!$C$119*Assumptions!$F$169)*(1+Assumptions!Z$198))</f>
        <v>5492.40108755583</v>
      </c>
      <c r="AA43" s="65" t="n">
        <f aca="false">IF(AA$5="A",0,Z43*(1-Assumptions!$C$116*Assumptions!$F$169+Assumptions!$C$118*Assumptions!$F$171-Assumptions!$C$119*Assumptions!$F$169)*(1+Assumptions!AA$198))</f>
        <v>5425.9430343964</v>
      </c>
      <c r="AB43" s="65" t="n">
        <f aca="false">IF(AB$5="A",0,AA43*(1-Assumptions!$C$116*Assumptions!$F$169+Assumptions!$C$118*Assumptions!$F$171-Assumptions!$C$119*Assumptions!$F$169)*(1+Assumptions!AB$198))</f>
        <v>5360.28912368021</v>
      </c>
    </row>
    <row r="44" customFormat="false" ht="15" hidden="false" customHeight="false" outlineLevel="0" collapsed="false">
      <c r="A44" s="28" t="s">
        <v>907</v>
      </c>
      <c r="B44" s="63" t="s">
        <v>872</v>
      </c>
      <c r="C44" s="64" t="n">
        <f aca="false">P44</f>
        <v>6167.8723536</v>
      </c>
      <c r="D44" s="64" t="n">
        <f aca="false">AB44</f>
        <v>4941.67257409257</v>
      </c>
      <c r="E44" s="74" t="n">
        <f aca="false">0</f>
        <v>0</v>
      </c>
      <c r="F44" s="74" t="n">
        <f aca="false">0</f>
        <v>0</v>
      </c>
      <c r="G44" s="74" t="n">
        <f aca="false">0</f>
        <v>0</v>
      </c>
      <c r="H44" s="74" t="n">
        <f aca="false">0</f>
        <v>0</v>
      </c>
      <c r="I44" s="74" t="n">
        <f aca="false">0</f>
        <v>0</v>
      </c>
      <c r="J44" s="74" t="n">
        <f aca="false">0</f>
        <v>0</v>
      </c>
      <c r="K44" s="74" t="n">
        <f aca="false">0</f>
        <v>0</v>
      </c>
      <c r="L44" s="74" t="n">
        <f aca="false">0</f>
        <v>0</v>
      </c>
      <c r="M44" s="74" t="n">
        <f aca="false">0</f>
        <v>0</v>
      </c>
      <c r="N44" s="74" t="n">
        <f aca="false">0</f>
        <v>0</v>
      </c>
      <c r="O44" s="65" t="n">
        <f aca="false">IF(O$5="A",0,New_Business!O11)</f>
        <v>6387.606</v>
      </c>
      <c r="P44" s="65" t="n">
        <f aca="false">IF(P$5="A",0,O44*(1-Assumptions!$C$112*Assumptions!$F$169+Assumptions!$C$118*Assumptions!$F$171-Assumptions!$C$119*Assumptions!$F$169)*(1+Assumptions!P$198))</f>
        <v>6167.8723536</v>
      </c>
      <c r="Q44" s="65" t="n">
        <f aca="false">IF(Q$5="A",0,P44*(1-Assumptions!$C$112*Assumptions!$F$169+Assumptions!$C$118*Assumptions!$F$171-Assumptions!$C$119*Assumptions!$F$169)*(1+Assumptions!Q$198))</f>
        <v>6253.48242186797</v>
      </c>
      <c r="R44" s="65" t="n">
        <f aca="false">IF(R$5="A",0,Q44*(1-Assumptions!$C$112*Assumptions!$F$169+Assumptions!$C$118*Assumptions!$F$171-Assumptions!$C$119*Assumptions!$F$169)*(1+Assumptions!R$198))</f>
        <v>6038.36262655571</v>
      </c>
      <c r="S44" s="65" t="n">
        <f aca="false">IF(S$5="A",0,R44*(1-Assumptions!$C$114*Assumptions!$F$169+Assumptions!$C$118*Assumptions!$F$171-Assumptions!$C$119*Assumptions!$F$169)*(1+Assumptions!S$198))</f>
        <v>5913.36852018601</v>
      </c>
      <c r="T44" s="65" t="n">
        <f aca="false">IF(T$5="A",0,S44*(1-Assumptions!$C$114*Assumptions!$F$169+Assumptions!$C$118*Assumptions!$F$171-Assumptions!$C$119*Assumptions!$F$169)*(1+Assumptions!T$198))</f>
        <v>5790.96179181816</v>
      </c>
      <c r="U44" s="65" t="n">
        <f aca="false">IF(U$5="A",0,T44*(1-Assumptions!$C$114*Assumptions!$F$169+Assumptions!$C$118*Assumptions!$F$171-Assumptions!$C$119*Assumptions!$F$169)*(1+Assumptions!U$198))</f>
        <v>5671.08888272752</v>
      </c>
      <c r="V44" s="65" t="n">
        <f aca="false">IF(V$5="A",0,U44*(1-Assumptions!$C$114*Assumptions!$F$169+Assumptions!$C$118*Assumptions!$F$171-Assumptions!$C$119*Assumptions!$F$169)*(1+Assumptions!V$198))</f>
        <v>5553.69734285506</v>
      </c>
      <c r="W44" s="65" t="n">
        <f aca="false">IF(W$5="A",0,V44*(1-Assumptions!$C$114*Assumptions!$F$169+Assumptions!$C$118*Assumptions!$F$171-Assumptions!$C$119*Assumptions!$F$169)*(1+Assumptions!W$198))</f>
        <v>5438.73580785797</v>
      </c>
      <c r="X44" s="65" t="n">
        <f aca="false">IF(X$5="A",0,W44*(1-Assumptions!$C$114*Assumptions!$F$169+Assumptions!$C$118*Assumptions!$F$171-Assumptions!$C$119*Assumptions!$F$169)*(1+Assumptions!X$198))</f>
        <v>5326.15397663531</v>
      </c>
      <c r="Y44" s="65" t="n">
        <f aca="false">IF(Y$5="A",0,X44*(1-Assumptions!$C$114*Assumptions!$F$169+Assumptions!$C$118*Assumptions!$F$171-Assumptions!$C$119*Assumptions!$F$169)*(1+Assumptions!Y$198))</f>
        <v>5215.90258931896</v>
      </c>
      <c r="Z44" s="65" t="n">
        <f aca="false">IF(Z$5="A",0,Y44*(1-Assumptions!$C$114*Assumptions!$F$169+Assumptions!$C$118*Assumptions!$F$171-Assumptions!$C$119*Assumptions!$F$169)*(1+Assumptions!Z$198))</f>
        <v>5107.93340572005</v>
      </c>
      <c r="AA44" s="65" t="n">
        <f aca="false">IF(AA$5="A",0,Z44*(1-Assumptions!$C$114*Assumptions!$F$169+Assumptions!$C$118*Assumptions!$F$171-Assumptions!$C$119*Assumptions!$F$169)*(1+Assumptions!AA$198))</f>
        <v>5002.19918422165</v>
      </c>
      <c r="AB44" s="65" t="n">
        <f aca="false">IF(AB$5="A",0,AA44*(1-Assumptions!$C$116*Assumptions!$F$169+Assumptions!$C$118*Assumptions!$F$171-Assumptions!$C$119*Assumptions!$F$169)*(1+Assumptions!AB$198))</f>
        <v>4941.67257409257</v>
      </c>
    </row>
    <row r="45" customFormat="false" ht="15" hidden="false" customHeight="false" outlineLevel="0" collapsed="false">
      <c r="A45" s="28" t="s">
        <v>908</v>
      </c>
      <c r="B45" s="63" t="s">
        <v>872</v>
      </c>
      <c r="C45" s="64" t="n">
        <f aca="false">P45</f>
        <v>5322.591</v>
      </c>
      <c r="D45" s="64" t="n">
        <f aca="false">AB45</f>
        <v>4168.17511257668</v>
      </c>
      <c r="E45" s="74" t="n">
        <f aca="false">0</f>
        <v>0</v>
      </c>
      <c r="F45" s="74" t="n">
        <f aca="false">0</f>
        <v>0</v>
      </c>
      <c r="G45" s="74" t="n">
        <f aca="false">0</f>
        <v>0</v>
      </c>
      <c r="H45" s="74" t="n">
        <f aca="false">0</f>
        <v>0</v>
      </c>
      <c r="I45" s="74" t="n">
        <f aca="false">0</f>
        <v>0</v>
      </c>
      <c r="J45" s="74" t="n">
        <f aca="false">0</f>
        <v>0</v>
      </c>
      <c r="K45" s="74" t="n">
        <f aca="false">0</f>
        <v>0</v>
      </c>
      <c r="L45" s="74" t="n">
        <f aca="false">0</f>
        <v>0</v>
      </c>
      <c r="M45" s="74" t="n">
        <f aca="false">0</f>
        <v>0</v>
      </c>
      <c r="N45" s="74" t="n">
        <f aca="false">0</f>
        <v>0</v>
      </c>
      <c r="O45" s="74" t="n">
        <f aca="false">0</f>
        <v>0</v>
      </c>
      <c r="P45" s="65" t="n">
        <f aca="false">IF(P$5="A",0,New_Business!P11)</f>
        <v>5322.591</v>
      </c>
      <c r="Q45" s="65" t="n">
        <f aca="false">IF(Q$5="A",0,P45*(1-Assumptions!$C$112*Assumptions!$F$169+Assumptions!$C$118*Assumptions!$F$171-Assumptions!$C$119*Assumptions!$F$169)*(1+Assumptions!Q$198))</f>
        <v>5396.46856308</v>
      </c>
      <c r="R45" s="65" t="n">
        <f aca="false">IF(R$5="A",0,Q45*(1-Assumptions!$C$112*Assumptions!$F$169+Assumptions!$C$118*Assumptions!$F$171-Assumptions!$C$119*Assumptions!$F$169)*(1+Assumptions!R$198))</f>
        <v>5210.83004451005</v>
      </c>
      <c r="S45" s="65" t="n">
        <f aca="false">IF(S$5="A",0,R45*(1-Assumptions!$C$112*Assumptions!$F$169+Assumptions!$C$118*Assumptions!$F$171-Assumptions!$C$119*Assumptions!$F$169)*(1+Assumptions!S$198))</f>
        <v>5031.5774909789</v>
      </c>
      <c r="T45" s="65" t="n">
        <f aca="false">IF(T$5="A",0,S45*(1-Assumptions!$C$114*Assumptions!$F$169+Assumptions!$C$118*Assumptions!$F$171-Assumptions!$C$119*Assumptions!$F$169)*(1+Assumptions!T$198))</f>
        <v>4927.42383691564</v>
      </c>
      <c r="U45" s="65" t="n">
        <f aca="false">IF(U$5="A",0,T45*(1-Assumptions!$C$114*Assumptions!$F$169+Assumptions!$C$118*Assumptions!$F$171-Assumptions!$C$119*Assumptions!$F$169)*(1+Assumptions!U$198))</f>
        <v>4825.42616349149</v>
      </c>
      <c r="V45" s="65" t="n">
        <f aca="false">IF(V$5="A",0,U45*(1-Assumptions!$C$114*Assumptions!$F$169+Assumptions!$C$118*Assumptions!$F$171-Assumptions!$C$119*Assumptions!$F$169)*(1+Assumptions!V$198))</f>
        <v>4725.53984190721</v>
      </c>
      <c r="W45" s="65" t="n">
        <f aca="false">IF(W$5="A",0,V45*(1-Assumptions!$C$114*Assumptions!$F$169+Assumptions!$C$118*Assumptions!$F$171-Assumptions!$C$119*Assumptions!$F$169)*(1+Assumptions!W$198))</f>
        <v>4627.72116717973</v>
      </c>
      <c r="X45" s="65" t="n">
        <f aca="false">IF(X$5="A",0,W45*(1-Assumptions!$C$114*Assumptions!$F$169+Assumptions!$C$118*Assumptions!$F$171-Assumptions!$C$119*Assumptions!$F$169)*(1+Assumptions!X$198))</f>
        <v>4531.92733901911</v>
      </c>
      <c r="Y45" s="65" t="n">
        <f aca="false">IF(Y$5="A",0,X45*(1-Assumptions!$C$114*Assumptions!$F$169+Assumptions!$C$118*Assumptions!$F$171-Assumptions!$C$119*Assumptions!$F$169)*(1+Assumptions!Y$198))</f>
        <v>4438.11644310142</v>
      </c>
      <c r="Z45" s="65" t="n">
        <f aca="false">IF(Z$5="A",0,Y45*(1-Assumptions!$C$114*Assumptions!$F$169+Assumptions!$C$118*Assumptions!$F$171-Assumptions!$C$119*Assumptions!$F$169)*(1+Assumptions!Z$198))</f>
        <v>4346.24743272922</v>
      </c>
      <c r="AA45" s="65" t="n">
        <f aca="false">IF(AA$5="A",0,Z45*(1-Assumptions!$C$114*Assumptions!$F$169+Assumptions!$C$118*Assumptions!$F$171-Assumptions!$C$119*Assumptions!$F$169)*(1+Assumptions!AA$198))</f>
        <v>4256.28011087172</v>
      </c>
      <c r="AB45" s="65" t="n">
        <f aca="false">IF(AB$5="A",0,AA45*(1-Assumptions!$C$114*Assumptions!$F$169+Assumptions!$C$118*Assumptions!$F$171-Assumptions!$C$119*Assumptions!$F$169)*(1+Assumptions!AB$198))</f>
        <v>4168.17511257668</v>
      </c>
    </row>
    <row r="46" customFormat="false" ht="15" hidden="false" customHeight="false" outlineLevel="0" collapsed="false">
      <c r="A46" s="28" t="s">
        <v>909</v>
      </c>
      <c r="B46" s="63" t="s">
        <v>872</v>
      </c>
      <c r="C46" s="64" t="n">
        <f aca="false">P46</f>
        <v>0</v>
      </c>
      <c r="D46" s="64" t="n">
        <f aca="false">AB46</f>
        <v>6109.55713499648</v>
      </c>
      <c r="E46" s="74" t="n">
        <f aca="false">0</f>
        <v>0</v>
      </c>
      <c r="F46" s="74" t="n">
        <f aca="false">0</f>
        <v>0</v>
      </c>
      <c r="G46" s="74" t="n">
        <f aca="false">0</f>
        <v>0</v>
      </c>
      <c r="H46" s="74" t="n">
        <f aca="false">0</f>
        <v>0</v>
      </c>
      <c r="I46" s="74" t="n">
        <f aca="false">0</f>
        <v>0</v>
      </c>
      <c r="J46" s="74" t="n">
        <f aca="false">0</f>
        <v>0</v>
      </c>
      <c r="K46" s="74" t="n">
        <f aca="false">0</f>
        <v>0</v>
      </c>
      <c r="L46" s="74" t="n">
        <f aca="false">0</f>
        <v>0</v>
      </c>
      <c r="M46" s="74" t="n">
        <f aca="false">0</f>
        <v>0</v>
      </c>
      <c r="N46" s="74" t="n">
        <f aca="false">0</f>
        <v>0</v>
      </c>
      <c r="O46" s="74" t="n">
        <f aca="false">0</f>
        <v>0</v>
      </c>
      <c r="P46" s="74" t="n">
        <f aca="false">0</f>
        <v>0</v>
      </c>
      <c r="Q46" s="65" t="n">
        <f aca="false">IF(Q$5="A",0,New_Business!Q11)</f>
        <v>8022.17115</v>
      </c>
      <c r="R46" s="65" t="n">
        <f aca="false">IF(R$5="A",0,Q46*(1-Assumptions!$C$112*Assumptions!$F$169+Assumptions!$C$118*Assumptions!$F$171-Assumptions!$C$119*Assumptions!$F$169)*(1+Assumptions!R$198))</f>
        <v>7746.20846244</v>
      </c>
      <c r="S46" s="65" t="n">
        <f aca="false">IF(S$5="A",0,R46*(1-Assumptions!$C$112*Assumptions!$F$169+Assumptions!$C$118*Assumptions!$F$171-Assumptions!$C$119*Assumptions!$F$169)*(1+Assumptions!S$198))</f>
        <v>7479.73889133207</v>
      </c>
      <c r="T46" s="65" t="n">
        <f aca="false">IF(T$5="A",0,S46*(1-Assumptions!$C$112*Assumptions!$F$169+Assumptions!$C$118*Assumptions!$F$171-Assumptions!$C$119*Assumptions!$F$169)*(1+Assumptions!T$198))</f>
        <v>7222.43587347024</v>
      </c>
      <c r="U46" s="65" t="n">
        <f aca="false">IF(U$5="A",0,T46*(1-Assumptions!$C$114*Assumptions!$F$169+Assumptions!$C$118*Assumptions!$F$171-Assumptions!$C$119*Assumptions!$F$169)*(1+Assumptions!U$198))</f>
        <v>7072.93145088941</v>
      </c>
      <c r="V46" s="65" t="n">
        <f aca="false">IF(V$5="A",0,U46*(1-Assumptions!$C$114*Assumptions!$F$169+Assumptions!$C$118*Assumptions!$F$171-Assumptions!$C$119*Assumptions!$F$169)*(1+Assumptions!V$198))</f>
        <v>6926.521769856</v>
      </c>
      <c r="W46" s="65" t="n">
        <f aca="false">IF(W$5="A",0,V46*(1-Assumptions!$C$114*Assumptions!$F$169+Assumptions!$C$118*Assumptions!$F$171-Assumptions!$C$119*Assumptions!$F$169)*(1+Assumptions!W$198))</f>
        <v>6783.14276921998</v>
      </c>
      <c r="X46" s="65" t="n">
        <f aca="false">IF(X$5="A",0,W46*(1-Assumptions!$C$114*Assumptions!$F$169+Assumptions!$C$118*Assumptions!$F$171-Assumptions!$C$119*Assumptions!$F$169)*(1+Assumptions!X$198))</f>
        <v>6642.73171389713</v>
      </c>
      <c r="Y46" s="65" t="n">
        <f aca="false">IF(Y$5="A",0,X46*(1-Assumptions!$C$114*Assumptions!$F$169+Assumptions!$C$118*Assumptions!$F$171-Assumptions!$C$119*Assumptions!$F$169)*(1+Assumptions!Y$198))</f>
        <v>6505.22716741946</v>
      </c>
      <c r="Z46" s="65" t="n">
        <f aca="false">IF(Z$5="A",0,Y46*(1-Assumptions!$C$114*Assumptions!$F$169+Assumptions!$C$118*Assumptions!$F$171-Assumptions!$C$119*Assumptions!$F$169)*(1+Assumptions!Z$198))</f>
        <v>6370.56896505388</v>
      </c>
      <c r="AA46" s="65" t="n">
        <f aca="false">IF(AA$5="A",0,Z46*(1-Assumptions!$C$114*Assumptions!$F$169+Assumptions!$C$118*Assumptions!$F$171-Assumptions!$C$119*Assumptions!$F$169)*(1+Assumptions!AA$198))</f>
        <v>6238.69818747726</v>
      </c>
      <c r="AB46" s="65" t="n">
        <f aca="false">IF(AB$5="A",0,AA46*(1-Assumptions!$C$114*Assumptions!$F$169+Assumptions!$C$118*Assumptions!$F$171-Assumptions!$C$119*Assumptions!$F$169)*(1+Assumptions!AB$198))</f>
        <v>6109.55713499648</v>
      </c>
    </row>
    <row r="47" customFormat="false" ht="15" hidden="false" customHeight="false" outlineLevel="0" collapsed="false">
      <c r="A47" s="28" t="s">
        <v>910</v>
      </c>
      <c r="B47" s="63" t="s">
        <v>872</v>
      </c>
      <c r="C47" s="64" t="n">
        <f aca="false">P47</f>
        <v>0</v>
      </c>
      <c r="D47" s="64" t="n">
        <f aca="false">AB47</f>
        <v>5522.69056001096</v>
      </c>
      <c r="E47" s="74" t="n">
        <f aca="false">0</f>
        <v>0</v>
      </c>
      <c r="F47" s="74" t="n">
        <f aca="false">0</f>
        <v>0</v>
      </c>
      <c r="G47" s="74" t="n">
        <f aca="false">0</f>
        <v>0</v>
      </c>
      <c r="H47" s="74" t="n">
        <f aca="false">0</f>
        <v>0</v>
      </c>
      <c r="I47" s="74" t="n">
        <f aca="false">0</f>
        <v>0</v>
      </c>
      <c r="J47" s="74" t="n">
        <f aca="false">0</f>
        <v>0</v>
      </c>
      <c r="K47" s="74" t="n">
        <f aca="false">0</f>
        <v>0</v>
      </c>
      <c r="L47" s="74" t="n">
        <f aca="false">0</f>
        <v>0</v>
      </c>
      <c r="M47" s="74" t="n">
        <f aca="false">0</f>
        <v>0</v>
      </c>
      <c r="N47" s="74" t="n">
        <f aca="false">0</f>
        <v>0</v>
      </c>
      <c r="O47" s="74" t="n">
        <f aca="false">0</f>
        <v>0</v>
      </c>
      <c r="P47" s="74" t="n">
        <f aca="false">0</f>
        <v>0</v>
      </c>
      <c r="Q47" s="74" t="n">
        <f aca="false">0</f>
        <v>0</v>
      </c>
      <c r="R47" s="65" t="n">
        <f aca="false">IF(R$5="A",0,New_Business!R11)</f>
        <v>7101.47655</v>
      </c>
      <c r="S47" s="65" t="n">
        <f aca="false">IF(S$5="A",0,R47*(1-Assumptions!$C$112*Assumptions!$F$169+Assumptions!$C$118*Assumptions!$F$171-Assumptions!$C$119*Assumptions!$F$169)*(1+Assumptions!S$198))</f>
        <v>6857.18575668</v>
      </c>
      <c r="T47" s="65" t="n">
        <f aca="false">IF(T$5="A",0,S47*(1-Assumptions!$C$112*Assumptions!$F$169+Assumptions!$C$118*Assumptions!$F$171-Assumptions!$C$119*Assumptions!$F$169)*(1+Assumptions!T$198))</f>
        <v>6621.29856665021</v>
      </c>
      <c r="U47" s="65" t="n">
        <f aca="false">IF(U$5="A",0,T47*(1-Assumptions!$C$112*Assumptions!$F$169+Assumptions!$C$118*Assumptions!$F$171-Assumptions!$C$119*Assumptions!$F$169)*(1+Assumptions!U$198))</f>
        <v>6393.52589595744</v>
      </c>
      <c r="V47" s="65" t="n">
        <f aca="false">IF(V$5="A",0,U47*(1-Assumptions!$C$114*Assumptions!$F$169+Assumptions!$C$118*Assumptions!$F$171-Assumptions!$C$119*Assumptions!$F$169)*(1+Assumptions!V$198))</f>
        <v>6261.17990991112</v>
      </c>
      <c r="W47" s="65" t="n">
        <f aca="false">IF(W$5="A",0,V47*(1-Assumptions!$C$114*Assumptions!$F$169+Assumptions!$C$118*Assumptions!$F$171-Assumptions!$C$119*Assumptions!$F$169)*(1+Assumptions!W$198))</f>
        <v>6131.57348577596</v>
      </c>
      <c r="X47" s="65" t="n">
        <f aca="false">IF(X$5="A",0,W47*(1-Assumptions!$C$114*Assumptions!$F$169+Assumptions!$C$118*Assumptions!$F$171-Assumptions!$C$119*Assumptions!$F$169)*(1+Assumptions!X$198))</f>
        <v>6004.6499146204</v>
      </c>
      <c r="Y47" s="65" t="n">
        <f aca="false">IF(Y$5="A",0,X47*(1-Assumptions!$C$114*Assumptions!$F$169+Assumptions!$C$118*Assumptions!$F$171-Assumptions!$C$119*Assumptions!$F$169)*(1+Assumptions!Y$198))</f>
        <v>5880.35366138776</v>
      </c>
      <c r="Z47" s="65" t="n">
        <f aca="false">IF(Z$5="A",0,Y47*(1-Assumptions!$C$114*Assumptions!$F$169+Assumptions!$C$118*Assumptions!$F$171-Assumptions!$C$119*Assumptions!$F$169)*(1+Assumptions!Z$198))</f>
        <v>5758.63034059703</v>
      </c>
      <c r="AA47" s="65" t="n">
        <f aca="false">IF(AA$5="A",0,Z47*(1-Assumptions!$C$114*Assumptions!$F$169+Assumptions!$C$118*Assumptions!$F$171-Assumptions!$C$119*Assumptions!$F$169)*(1+Assumptions!AA$198))</f>
        <v>5639.42669254667</v>
      </c>
      <c r="AB47" s="65" t="n">
        <f aca="false">IF(AB$5="A",0,AA47*(1-Assumptions!$C$114*Assumptions!$F$169+Assumptions!$C$118*Assumptions!$F$171-Assumptions!$C$119*Assumptions!$F$169)*(1+Assumptions!AB$198))</f>
        <v>5522.69056001096</v>
      </c>
    </row>
    <row r="48" customFormat="false" ht="15" hidden="false" customHeight="false" outlineLevel="0" collapsed="false">
      <c r="A48" s="28" t="s">
        <v>911</v>
      </c>
      <c r="B48" s="63" t="s">
        <v>872</v>
      </c>
      <c r="C48" s="64" t="n">
        <f aca="false">P48</f>
        <v>0</v>
      </c>
      <c r="D48" s="64" t="n">
        <f aca="false">AB48</f>
        <v>5482.53143151999</v>
      </c>
      <c r="E48" s="74" t="n">
        <f aca="false">0</f>
        <v>0</v>
      </c>
      <c r="F48" s="74" t="n">
        <f aca="false">0</f>
        <v>0</v>
      </c>
      <c r="G48" s="74" t="n">
        <f aca="false">0</f>
        <v>0</v>
      </c>
      <c r="H48" s="74" t="n">
        <f aca="false">0</f>
        <v>0</v>
      </c>
      <c r="I48" s="74" t="n">
        <f aca="false">0</f>
        <v>0</v>
      </c>
      <c r="J48" s="74" t="n">
        <f aca="false">0</f>
        <v>0</v>
      </c>
      <c r="K48" s="74" t="n">
        <f aca="false">0</f>
        <v>0</v>
      </c>
      <c r="L48" s="74" t="n">
        <f aca="false">0</f>
        <v>0</v>
      </c>
      <c r="M48" s="74" t="n">
        <f aca="false">0</f>
        <v>0</v>
      </c>
      <c r="N48" s="74" t="n">
        <f aca="false">0</f>
        <v>0</v>
      </c>
      <c r="O48" s="74" t="n">
        <f aca="false">0</f>
        <v>0</v>
      </c>
      <c r="P48" s="74" t="n">
        <f aca="false">0</f>
        <v>0</v>
      </c>
      <c r="Q48" s="74" t="n">
        <f aca="false">0</f>
        <v>0</v>
      </c>
      <c r="R48" s="74" t="n">
        <f aca="false">0</f>
        <v>0</v>
      </c>
      <c r="S48" s="65" t="n">
        <f aca="false">IF(S$5="A",0,New_Business!S11)</f>
        <v>6903.9054</v>
      </c>
      <c r="T48" s="65" t="n">
        <f aca="false">IF(T$5="A",0,S48*(1-Assumptions!$C$112*Assumptions!$F$169+Assumptions!$C$118*Assumptions!$F$171-Assumptions!$C$119*Assumptions!$F$169)*(1+Assumptions!T$198))</f>
        <v>6666.41105424</v>
      </c>
      <c r="U48" s="65" t="n">
        <f aca="false">IF(U$5="A",0,T48*(1-Assumptions!$C$112*Assumptions!$F$169+Assumptions!$C$118*Assumptions!$F$171-Assumptions!$C$119*Assumptions!$F$169)*(1+Assumptions!U$198))</f>
        <v>6437.08651397414</v>
      </c>
      <c r="V48" s="65" t="n">
        <f aca="false">IF(V$5="A",0,U48*(1-Assumptions!$C$112*Assumptions!$F$169+Assumptions!$C$118*Assumptions!$F$171-Assumptions!$C$119*Assumptions!$F$169)*(1+Assumptions!V$198))</f>
        <v>6215.65073789343</v>
      </c>
      <c r="W48" s="65" t="n">
        <f aca="false">IF(W$5="A",0,V48*(1-Assumptions!$C$114*Assumptions!$F$169+Assumptions!$C$118*Assumptions!$F$171-Assumptions!$C$119*Assumptions!$F$169)*(1+Assumptions!W$198))</f>
        <v>6086.98676761904</v>
      </c>
      <c r="X48" s="65" t="n">
        <f aca="false">IF(X$5="A",0,W48*(1-Assumptions!$C$114*Assumptions!$F$169+Assumptions!$C$118*Assumptions!$F$171-Assumptions!$C$119*Assumptions!$F$169)*(1+Assumptions!X$198))</f>
        <v>5960.98614152933</v>
      </c>
      <c r="Y48" s="65" t="n">
        <f aca="false">IF(Y$5="A",0,X48*(1-Assumptions!$C$114*Assumptions!$F$169+Assumptions!$C$118*Assumptions!$F$171-Assumptions!$C$119*Assumptions!$F$169)*(1+Assumptions!Y$198))</f>
        <v>5837.59372839967</v>
      </c>
      <c r="Z48" s="65" t="n">
        <f aca="false">IF(Z$5="A",0,Y48*(1-Assumptions!$C$114*Assumptions!$F$169+Assumptions!$C$118*Assumptions!$F$171-Assumptions!$C$119*Assumptions!$F$169)*(1+Assumptions!Z$198))</f>
        <v>5716.7555382218</v>
      </c>
      <c r="AA48" s="65" t="n">
        <f aca="false">IF(AA$5="A",0,Z48*(1-Assumptions!$C$114*Assumptions!$F$169+Assumptions!$C$118*Assumptions!$F$171-Assumptions!$C$119*Assumptions!$F$169)*(1+Assumptions!AA$198))</f>
        <v>5598.41869858061</v>
      </c>
      <c r="AB48" s="65" t="n">
        <f aca="false">IF(AB$5="A",0,AA48*(1-Assumptions!$C$114*Assumptions!$F$169+Assumptions!$C$118*Assumptions!$F$171-Assumptions!$C$119*Assumptions!$F$169)*(1+Assumptions!AB$198))</f>
        <v>5482.53143151999</v>
      </c>
    </row>
    <row r="49" customFormat="false" ht="15" hidden="false" customHeight="false" outlineLevel="0" collapsed="false">
      <c r="A49" s="28" t="s">
        <v>912</v>
      </c>
      <c r="B49" s="63" t="s">
        <v>872</v>
      </c>
      <c r="C49" s="64" t="n">
        <f aca="false">P49</f>
        <v>0</v>
      </c>
      <c r="D49" s="64" t="n">
        <f aca="false">AB49</f>
        <v>5331.92804651368</v>
      </c>
      <c r="E49" s="74" t="n">
        <f aca="false">0</f>
        <v>0</v>
      </c>
      <c r="F49" s="74" t="n">
        <f aca="false">0</f>
        <v>0</v>
      </c>
      <c r="G49" s="74" t="n">
        <f aca="false">0</f>
        <v>0</v>
      </c>
      <c r="H49" s="74" t="n">
        <f aca="false">0</f>
        <v>0</v>
      </c>
      <c r="I49" s="74" t="n">
        <f aca="false">0</f>
        <v>0</v>
      </c>
      <c r="J49" s="74" t="n">
        <f aca="false">0</f>
        <v>0</v>
      </c>
      <c r="K49" s="74" t="n">
        <f aca="false">0</f>
        <v>0</v>
      </c>
      <c r="L49" s="74" t="n">
        <f aca="false">0</f>
        <v>0</v>
      </c>
      <c r="M49" s="74" t="n">
        <f aca="false">0</f>
        <v>0</v>
      </c>
      <c r="N49" s="74" t="n">
        <f aca="false">0</f>
        <v>0</v>
      </c>
      <c r="O49" s="74" t="n">
        <f aca="false">0</f>
        <v>0</v>
      </c>
      <c r="P49" s="74" t="n">
        <f aca="false">0</f>
        <v>0</v>
      </c>
      <c r="Q49" s="74" t="n">
        <f aca="false">0</f>
        <v>0</v>
      </c>
      <c r="R49" s="74" t="n">
        <f aca="false">0</f>
        <v>0</v>
      </c>
      <c r="S49" s="74" t="n">
        <f aca="false">0</f>
        <v>0</v>
      </c>
      <c r="T49" s="65" t="n">
        <f aca="false">IF(T$5="A",0,New_Business!T11)</f>
        <v>6575.2722</v>
      </c>
      <c r="U49" s="65" t="n">
        <f aca="false">IF(U$5="A",0,T49*(1-Assumptions!$C$112*Assumptions!$F$169+Assumptions!$C$118*Assumptions!$F$171-Assumptions!$C$119*Assumptions!$F$169)*(1+Assumptions!U$198))</f>
        <v>6349.08283632</v>
      </c>
      <c r="V49" s="65" t="n">
        <f aca="false">IF(V$5="A",0,U49*(1-Assumptions!$C$112*Assumptions!$F$169+Assumptions!$C$118*Assumptions!$F$171-Assumptions!$C$119*Assumptions!$F$169)*(1+Assumptions!V$198))</f>
        <v>6130.67438675059</v>
      </c>
      <c r="W49" s="65" t="n">
        <f aca="false">IF(W$5="A",0,V49*(1-Assumptions!$C$112*Assumptions!$F$169+Assumptions!$C$118*Assumptions!$F$171-Assumptions!$C$119*Assumptions!$F$169)*(1+Assumptions!W$198))</f>
        <v>5919.77918784637</v>
      </c>
      <c r="X49" s="65" t="n">
        <f aca="false">IF(X$5="A",0,W49*(1-Assumptions!$C$114*Assumptions!$F$169+Assumptions!$C$118*Assumptions!$F$171-Assumptions!$C$119*Assumptions!$F$169)*(1+Assumptions!X$198))</f>
        <v>5797.23975865795</v>
      </c>
      <c r="Y49" s="65" t="n">
        <f aca="false">IF(Y$5="A",0,X49*(1-Assumptions!$C$114*Assumptions!$F$169+Assumptions!$C$118*Assumptions!$F$171-Assumptions!$C$119*Assumptions!$F$169)*(1+Assumptions!Y$198))</f>
        <v>5677.23689565373</v>
      </c>
      <c r="Z49" s="65" t="n">
        <f aca="false">IF(Z$5="A",0,Y49*(1-Assumptions!$C$114*Assumptions!$F$169+Assumptions!$C$118*Assumptions!$F$171-Assumptions!$C$119*Assumptions!$F$169)*(1+Assumptions!Z$198))</f>
        <v>5559.7180919137</v>
      </c>
      <c r="AA49" s="65" t="n">
        <f aca="false">IF(AA$5="A",0,Z49*(1-Assumptions!$C$114*Assumptions!$F$169+Assumptions!$C$118*Assumptions!$F$171-Assumptions!$C$119*Assumptions!$F$169)*(1+Assumptions!AA$198))</f>
        <v>5444.63192741109</v>
      </c>
      <c r="AB49" s="65" t="n">
        <f aca="false">IF(AB$5="A",0,AA49*(1-Assumptions!$C$114*Assumptions!$F$169+Assumptions!$C$118*Assumptions!$F$171-Assumptions!$C$119*Assumptions!$F$169)*(1+Assumptions!AB$198))</f>
        <v>5331.92804651368</v>
      </c>
    </row>
    <row r="50" customFormat="false" ht="15" hidden="false" customHeight="false" outlineLevel="0" collapsed="false">
      <c r="A50" s="28" t="s">
        <v>913</v>
      </c>
      <c r="B50" s="63" t="s">
        <v>872</v>
      </c>
      <c r="C50" s="64" t="n">
        <f aca="false">P50</f>
        <v>0</v>
      </c>
      <c r="D50" s="64" t="n">
        <f aca="false">AB50</f>
        <v>5444.63192741109</v>
      </c>
      <c r="E50" s="74" t="n">
        <f aca="false">0</f>
        <v>0</v>
      </c>
      <c r="F50" s="74" t="n">
        <f aca="false">0</f>
        <v>0</v>
      </c>
      <c r="G50" s="74" t="n">
        <f aca="false">0</f>
        <v>0</v>
      </c>
      <c r="H50" s="74" t="n">
        <f aca="false">0</f>
        <v>0</v>
      </c>
      <c r="I50" s="74" t="n">
        <f aca="false">0</f>
        <v>0</v>
      </c>
      <c r="J50" s="74" t="n">
        <f aca="false">0</f>
        <v>0</v>
      </c>
      <c r="K50" s="74" t="n">
        <f aca="false">0</f>
        <v>0</v>
      </c>
      <c r="L50" s="74" t="n">
        <f aca="false">0</f>
        <v>0</v>
      </c>
      <c r="M50" s="74" t="n">
        <f aca="false">0</f>
        <v>0</v>
      </c>
      <c r="N50" s="74" t="n">
        <f aca="false">0</f>
        <v>0</v>
      </c>
      <c r="O50" s="74" t="n">
        <f aca="false">0</f>
        <v>0</v>
      </c>
      <c r="P50" s="74" t="n">
        <f aca="false">0</f>
        <v>0</v>
      </c>
      <c r="Q50" s="74" t="n">
        <f aca="false">0</f>
        <v>0</v>
      </c>
      <c r="R50" s="74" t="n">
        <f aca="false">0</f>
        <v>0</v>
      </c>
      <c r="S50" s="74" t="n">
        <f aca="false">0</f>
        <v>0</v>
      </c>
      <c r="T50" s="74" t="n">
        <f aca="false">0</f>
        <v>0</v>
      </c>
      <c r="U50" s="65" t="n">
        <f aca="false">IF(U$5="A",0,New_Business!U11)</f>
        <v>6575.2722</v>
      </c>
      <c r="V50" s="65" t="n">
        <f aca="false">IF(V$5="A",0,U50*(1-Assumptions!$C$112*Assumptions!$F$169+Assumptions!$C$118*Assumptions!$F$171-Assumptions!$C$119*Assumptions!$F$169)*(1+Assumptions!V$198))</f>
        <v>6349.08283632</v>
      </c>
      <c r="W50" s="65" t="n">
        <f aca="false">IF(W$5="A",0,V50*(1-Assumptions!$C$112*Assumptions!$F$169+Assumptions!$C$118*Assumptions!$F$171-Assumptions!$C$119*Assumptions!$F$169)*(1+Assumptions!W$198))</f>
        <v>6130.67438675059</v>
      </c>
      <c r="X50" s="65" t="n">
        <f aca="false">IF(X$5="A",0,W50*(1-Assumptions!$C$112*Assumptions!$F$169+Assumptions!$C$118*Assumptions!$F$171-Assumptions!$C$119*Assumptions!$F$169)*(1+Assumptions!X$198))</f>
        <v>5919.77918784637</v>
      </c>
      <c r="Y50" s="65" t="n">
        <f aca="false">IF(Y$5="A",0,X50*(1-Assumptions!$C$114*Assumptions!$F$169+Assumptions!$C$118*Assumptions!$F$171-Assumptions!$C$119*Assumptions!$F$169)*(1+Assumptions!Y$198))</f>
        <v>5797.23975865795</v>
      </c>
      <c r="Z50" s="65" t="n">
        <f aca="false">IF(Z$5="A",0,Y50*(1-Assumptions!$C$114*Assumptions!$F$169+Assumptions!$C$118*Assumptions!$F$171-Assumptions!$C$119*Assumptions!$F$169)*(1+Assumptions!Z$198))</f>
        <v>5677.23689565373</v>
      </c>
      <c r="AA50" s="65" t="n">
        <f aca="false">IF(AA$5="A",0,Z50*(1-Assumptions!$C$114*Assumptions!$F$169+Assumptions!$C$118*Assumptions!$F$171-Assumptions!$C$119*Assumptions!$F$169)*(1+Assumptions!AA$198))</f>
        <v>5559.7180919137</v>
      </c>
      <c r="AB50" s="65" t="n">
        <f aca="false">IF(AB$5="A",0,AA50*(1-Assumptions!$C$114*Assumptions!$F$169+Assumptions!$C$118*Assumptions!$F$171-Assumptions!$C$119*Assumptions!$F$169)*(1+Assumptions!AB$198))</f>
        <v>5444.63192741109</v>
      </c>
    </row>
    <row r="51" customFormat="false" ht="15" hidden="false" customHeight="false" outlineLevel="0" collapsed="false">
      <c r="A51" s="28" t="s">
        <v>914</v>
      </c>
      <c r="B51" s="63" t="s">
        <v>872</v>
      </c>
      <c r="C51" s="64" t="n">
        <f aca="false">P51</f>
        <v>0</v>
      </c>
      <c r="D51" s="64" t="n">
        <f aca="false">AB51</f>
        <v>5281.84245542773</v>
      </c>
      <c r="E51" s="74" t="n">
        <f aca="false">0</f>
        <v>0</v>
      </c>
      <c r="F51" s="74" t="n">
        <f aca="false">0</f>
        <v>0</v>
      </c>
      <c r="G51" s="74" t="n">
        <f aca="false">0</f>
        <v>0</v>
      </c>
      <c r="H51" s="74" t="n">
        <f aca="false">0</f>
        <v>0</v>
      </c>
      <c r="I51" s="74" t="n">
        <f aca="false">0</f>
        <v>0</v>
      </c>
      <c r="J51" s="74" t="n">
        <f aca="false">0</f>
        <v>0</v>
      </c>
      <c r="K51" s="74" t="n">
        <f aca="false">0</f>
        <v>0</v>
      </c>
      <c r="L51" s="74" t="n">
        <f aca="false">0</f>
        <v>0</v>
      </c>
      <c r="M51" s="74" t="n">
        <f aca="false">0</f>
        <v>0</v>
      </c>
      <c r="N51" s="74" t="n">
        <f aca="false">0</f>
        <v>0</v>
      </c>
      <c r="O51" s="74" t="n">
        <f aca="false">0</f>
        <v>0</v>
      </c>
      <c r="P51" s="74" t="n">
        <f aca="false">0</f>
        <v>0</v>
      </c>
      <c r="Q51" s="74" t="n">
        <f aca="false">0</f>
        <v>0</v>
      </c>
      <c r="R51" s="74" t="n">
        <f aca="false">0</f>
        <v>0</v>
      </c>
      <c r="S51" s="74" t="n">
        <f aca="false">0</f>
        <v>0</v>
      </c>
      <c r="T51" s="74" t="n">
        <f aca="false">0</f>
        <v>0</v>
      </c>
      <c r="U51" s="74" t="n">
        <f aca="false">0</f>
        <v>0</v>
      </c>
      <c r="V51" s="65" t="n">
        <f aca="false">IF(V$5="A",0,New_Business!V11)</f>
        <v>6246.639</v>
      </c>
      <c r="W51" s="65" t="n">
        <f aca="false">IF(W$5="A",0,V51*(1-Assumptions!$C$112*Assumptions!$F$169+Assumptions!$C$118*Assumptions!$F$171-Assumptions!$C$119*Assumptions!$F$169)*(1+Assumptions!W$198))</f>
        <v>6031.7546184</v>
      </c>
      <c r="X51" s="65" t="n">
        <f aca="false">IF(X$5="A",0,W51*(1-Assumptions!$C$112*Assumptions!$F$169+Assumptions!$C$118*Assumptions!$F$171-Assumptions!$C$119*Assumptions!$F$169)*(1+Assumptions!X$198))</f>
        <v>5824.26225952704</v>
      </c>
      <c r="Y51" s="65" t="n">
        <f aca="false">IF(Y$5="A",0,X51*(1-Assumptions!$C$112*Assumptions!$F$169+Assumptions!$C$118*Assumptions!$F$171-Assumptions!$C$119*Assumptions!$F$169)*(1+Assumptions!Y$198))</f>
        <v>5623.90763779931</v>
      </c>
      <c r="Z51" s="65" t="n">
        <f aca="false">IF(Z$5="A",0,Y51*(1-Assumptions!$C$114*Assumptions!$F$169+Assumptions!$C$118*Assumptions!$F$171-Assumptions!$C$119*Assumptions!$F$169)*(1+Assumptions!Z$198))</f>
        <v>5507.49274969687</v>
      </c>
      <c r="AA51" s="65" t="n">
        <f aca="false">IF(AA$5="A",0,Z51*(1-Assumptions!$C$114*Assumptions!$F$169+Assumptions!$C$118*Assumptions!$F$171-Assumptions!$C$119*Assumptions!$F$169)*(1+Assumptions!AA$198))</f>
        <v>5393.48764977814</v>
      </c>
      <c r="AB51" s="65" t="n">
        <f aca="false">IF(AB$5="A",0,AA51*(1-Assumptions!$C$114*Assumptions!$F$169+Assumptions!$C$118*Assumptions!$F$171-Assumptions!$C$119*Assumptions!$F$169)*(1+Assumptions!AB$198))</f>
        <v>5281.84245542773</v>
      </c>
    </row>
    <row r="52" customFormat="false" ht="15" hidden="false" customHeight="false" outlineLevel="0" collapsed="false">
      <c r="A52" s="28" t="s">
        <v>915</v>
      </c>
      <c r="B52" s="63" t="s">
        <v>872</v>
      </c>
      <c r="C52" s="64" t="n">
        <f aca="false">P52</f>
        <v>0</v>
      </c>
      <c r="D52" s="64" t="n">
        <f aca="false">AB52</f>
        <v>4825.42616349149</v>
      </c>
      <c r="E52" s="74" t="n">
        <f aca="false">0</f>
        <v>0</v>
      </c>
      <c r="F52" s="74" t="n">
        <f aca="false">0</f>
        <v>0</v>
      </c>
      <c r="G52" s="74" t="n">
        <f aca="false">0</f>
        <v>0</v>
      </c>
      <c r="H52" s="74" t="n">
        <f aca="false">0</f>
        <v>0</v>
      </c>
      <c r="I52" s="74" t="n">
        <f aca="false">0</f>
        <v>0</v>
      </c>
      <c r="J52" s="74" t="n">
        <f aca="false">0</f>
        <v>0</v>
      </c>
      <c r="K52" s="74" t="n">
        <f aca="false">0</f>
        <v>0</v>
      </c>
      <c r="L52" s="74" t="n">
        <f aca="false">0</f>
        <v>0</v>
      </c>
      <c r="M52" s="74" t="n">
        <f aca="false">0</f>
        <v>0</v>
      </c>
      <c r="N52" s="74" t="n">
        <f aca="false">0</f>
        <v>0</v>
      </c>
      <c r="O52" s="74" t="n">
        <f aca="false">0</f>
        <v>0</v>
      </c>
      <c r="P52" s="74" t="n">
        <f aca="false">0</f>
        <v>0</v>
      </c>
      <c r="Q52" s="74" t="n">
        <f aca="false">0</f>
        <v>0</v>
      </c>
      <c r="R52" s="74" t="n">
        <f aca="false">0</f>
        <v>0</v>
      </c>
      <c r="S52" s="74" t="n">
        <f aca="false">0</f>
        <v>0</v>
      </c>
      <c r="T52" s="74" t="n">
        <f aca="false">0</f>
        <v>0</v>
      </c>
      <c r="U52" s="74" t="n">
        <f aca="false">0</f>
        <v>0</v>
      </c>
      <c r="V52" s="74" t="n">
        <f aca="false">0</f>
        <v>0</v>
      </c>
      <c r="W52" s="65" t="n">
        <f aca="false">IF(W$5="A",0,New_Business!W11)</f>
        <v>5588.72055</v>
      </c>
      <c r="X52" s="65" t="n">
        <f aca="false">IF(X$5="A",0,W52*(1-Assumptions!$C$112*Assumptions!$F$169+Assumptions!$C$118*Assumptions!$F$171-Assumptions!$C$119*Assumptions!$F$169)*(1+Assumptions!X$198))</f>
        <v>5396.46856308</v>
      </c>
      <c r="Y52" s="65" t="n">
        <f aca="false">IF(Y$5="A",0,X52*(1-Assumptions!$C$112*Assumptions!$F$169+Assumptions!$C$118*Assumptions!$F$171-Assumptions!$C$119*Assumptions!$F$169)*(1+Assumptions!Y$198))</f>
        <v>5210.83004451005</v>
      </c>
      <c r="Z52" s="65" t="n">
        <f aca="false">IF(Z$5="A",0,Y52*(1-Assumptions!$C$112*Assumptions!$F$169+Assumptions!$C$118*Assumptions!$F$171-Assumptions!$C$119*Assumptions!$F$169)*(1+Assumptions!Z$198))</f>
        <v>5031.5774909789</v>
      </c>
      <c r="AA52" s="65" t="n">
        <f aca="false">IF(AA$5="A",0,Z52*(1-Assumptions!$C$114*Assumptions!$F$169+Assumptions!$C$118*Assumptions!$F$171-Assumptions!$C$119*Assumptions!$F$169)*(1+Assumptions!AA$198))</f>
        <v>4927.42383691564</v>
      </c>
      <c r="AB52" s="65" t="n">
        <f aca="false">IF(AB$5="A",0,AA52*(1-Assumptions!$C$114*Assumptions!$F$169+Assumptions!$C$118*Assumptions!$F$171-Assumptions!$C$119*Assumptions!$F$169)*(1+Assumptions!AB$198))</f>
        <v>4825.42616349149</v>
      </c>
    </row>
    <row r="53" customFormat="false" ht="15" hidden="false" customHeight="false" outlineLevel="0" collapsed="false">
      <c r="A53" s="28" t="s">
        <v>916</v>
      </c>
      <c r="B53" s="63" t="s">
        <v>872</v>
      </c>
      <c r="C53" s="64" t="n">
        <f aca="false">P53</f>
        <v>0</v>
      </c>
      <c r="D53" s="64" t="n">
        <f aca="false">AB53</f>
        <v>3942.05404850432</v>
      </c>
      <c r="E53" s="74" t="n">
        <f aca="false">0</f>
        <v>0</v>
      </c>
      <c r="F53" s="74" t="n">
        <f aca="false">0</f>
        <v>0</v>
      </c>
      <c r="G53" s="74" t="n">
        <f aca="false">0</f>
        <v>0</v>
      </c>
      <c r="H53" s="74" t="n">
        <f aca="false">0</f>
        <v>0</v>
      </c>
      <c r="I53" s="74" t="n">
        <f aca="false">0</f>
        <v>0</v>
      </c>
      <c r="J53" s="74" t="n">
        <f aca="false">0</f>
        <v>0</v>
      </c>
      <c r="K53" s="74" t="n">
        <f aca="false">0</f>
        <v>0</v>
      </c>
      <c r="L53" s="74" t="n">
        <f aca="false">0</f>
        <v>0</v>
      </c>
      <c r="M53" s="74" t="n">
        <f aca="false">0</f>
        <v>0</v>
      </c>
      <c r="N53" s="74" t="n">
        <f aca="false">0</f>
        <v>0</v>
      </c>
      <c r="O53" s="74" t="n">
        <f aca="false">0</f>
        <v>0</v>
      </c>
      <c r="P53" s="74" t="n">
        <f aca="false">0</f>
        <v>0</v>
      </c>
      <c r="Q53" s="74" t="n">
        <f aca="false">0</f>
        <v>0</v>
      </c>
      <c r="R53" s="74" t="n">
        <f aca="false">0</f>
        <v>0</v>
      </c>
      <c r="S53" s="74" t="n">
        <f aca="false">0</f>
        <v>0</v>
      </c>
      <c r="T53" s="74" t="n">
        <f aca="false">0</f>
        <v>0</v>
      </c>
      <c r="U53" s="74" t="n">
        <f aca="false">0</f>
        <v>0</v>
      </c>
      <c r="V53" s="74" t="n">
        <f aca="false">0</f>
        <v>0</v>
      </c>
      <c r="W53" s="74" t="n">
        <f aca="false">0</f>
        <v>0</v>
      </c>
      <c r="X53" s="65" t="n">
        <f aca="false">IF(X$5="A",0,New_Business!X11)</f>
        <v>4471.10685</v>
      </c>
      <c r="Y53" s="65" t="n">
        <f aca="false">IF(Y$5="A",0,X53*(1-Assumptions!$C$112*Assumptions!$F$169+Assumptions!$C$118*Assumptions!$F$171-Assumptions!$C$119*Assumptions!$F$169)*(1+Assumptions!Y$198))</f>
        <v>4317.30077436</v>
      </c>
      <c r="Z53" s="65" t="n">
        <f aca="false">IF(Z$5="A",0,Y53*(1-Assumptions!$C$112*Assumptions!$F$169+Assumptions!$C$118*Assumptions!$F$171-Assumptions!$C$119*Assumptions!$F$169)*(1+Assumptions!Z$198))</f>
        <v>4168.78562772202</v>
      </c>
      <c r="AA53" s="65" t="n">
        <f aca="false">IF(AA$5="A",0,Z53*(1-Assumptions!$C$112*Assumptions!$F$169+Assumptions!$C$118*Assumptions!$F$171-Assumptions!$C$119*Assumptions!$F$169)*(1+Assumptions!AA$198))</f>
        <v>4025.37940212838</v>
      </c>
      <c r="AB53" s="65" t="n">
        <f aca="false">IF(AB$5="A",0,AA53*(1-Assumptions!$C$114*Assumptions!$F$169+Assumptions!$C$118*Assumptions!$F$171-Assumptions!$C$119*Assumptions!$F$169)*(1+Assumptions!AB$198))</f>
        <v>3942.05404850432</v>
      </c>
    </row>
    <row r="54" customFormat="false" ht="15" hidden="false" customHeight="false" outlineLevel="0" collapsed="false">
      <c r="A54" s="28" t="s">
        <v>917</v>
      </c>
      <c r="B54" s="63" t="s">
        <v>872</v>
      </c>
      <c r="C54" s="64" t="n">
        <f aca="false">P54</f>
        <v>0</v>
      </c>
      <c r="D54" s="64" t="n">
        <f aca="false">AB54</f>
        <v>6393.52589595744</v>
      </c>
      <c r="E54" s="74" t="n">
        <f aca="false">0</f>
        <v>0</v>
      </c>
      <c r="F54" s="74" t="n">
        <f aca="false">0</f>
        <v>0</v>
      </c>
      <c r="G54" s="74" t="n">
        <f aca="false">0</f>
        <v>0</v>
      </c>
      <c r="H54" s="74" t="n">
        <f aca="false">0</f>
        <v>0</v>
      </c>
      <c r="I54" s="74" t="n">
        <f aca="false">0</f>
        <v>0</v>
      </c>
      <c r="J54" s="74" t="n">
        <f aca="false">0</f>
        <v>0</v>
      </c>
      <c r="K54" s="74" t="n">
        <f aca="false">0</f>
        <v>0</v>
      </c>
      <c r="L54" s="74" t="n">
        <f aca="false">0</f>
        <v>0</v>
      </c>
      <c r="M54" s="74" t="n">
        <f aca="false">0</f>
        <v>0</v>
      </c>
      <c r="N54" s="74" t="n">
        <f aca="false">0</f>
        <v>0</v>
      </c>
      <c r="O54" s="74" t="n">
        <f aca="false">0</f>
        <v>0</v>
      </c>
      <c r="P54" s="74" t="n">
        <f aca="false">0</f>
        <v>0</v>
      </c>
      <c r="Q54" s="74" t="n">
        <f aca="false">0</f>
        <v>0</v>
      </c>
      <c r="R54" s="74" t="n">
        <f aca="false">0</f>
        <v>0</v>
      </c>
      <c r="S54" s="74" t="n">
        <f aca="false">0</f>
        <v>0</v>
      </c>
      <c r="T54" s="74" t="n">
        <f aca="false">0</f>
        <v>0</v>
      </c>
      <c r="U54" s="74" t="n">
        <f aca="false">0</f>
        <v>0</v>
      </c>
      <c r="V54" s="74" t="n">
        <f aca="false">0</f>
        <v>0</v>
      </c>
      <c r="W54" s="74" t="n">
        <f aca="false">0</f>
        <v>0</v>
      </c>
      <c r="X54" s="74" t="n">
        <f aca="false">0</f>
        <v>0</v>
      </c>
      <c r="Y54" s="65" t="n">
        <f aca="false">IF(Y$5="A",0,New_Business!Y11)</f>
        <v>7101.47655</v>
      </c>
      <c r="Z54" s="65" t="n">
        <f aca="false">IF(Z$5="A",0,Y54*(1-Assumptions!$C$112*Assumptions!$F$169+Assumptions!$C$118*Assumptions!$F$171-Assumptions!$C$119*Assumptions!$F$169)*(1+Assumptions!Z$198))</f>
        <v>6857.18575668</v>
      </c>
      <c r="AA54" s="65" t="n">
        <f aca="false">IF(AA$5="A",0,Z54*(1-Assumptions!$C$112*Assumptions!$F$169+Assumptions!$C$118*Assumptions!$F$171-Assumptions!$C$119*Assumptions!$F$169)*(1+Assumptions!AA$198))</f>
        <v>6621.29856665021</v>
      </c>
      <c r="AB54" s="65" t="n">
        <f aca="false">IF(AB$5="A",0,AA54*(1-Assumptions!$C$112*Assumptions!$F$169+Assumptions!$C$118*Assumptions!$F$171-Assumptions!$C$119*Assumptions!$F$169)*(1+Assumptions!AB$198))</f>
        <v>6393.52589595744</v>
      </c>
    </row>
    <row r="55" customFormat="false" ht="15" hidden="false" customHeight="false" outlineLevel="0" collapsed="false">
      <c r="A55" s="28" t="s">
        <v>918</v>
      </c>
      <c r="B55" s="63" t="s">
        <v>872</v>
      </c>
      <c r="C55" s="64" t="n">
        <f aca="false">P55</f>
        <v>0</v>
      </c>
      <c r="D55" s="64" t="n">
        <f aca="false">AB55</f>
        <v>6866.30667631507</v>
      </c>
      <c r="E55" s="74" t="n">
        <f aca="false">0</f>
        <v>0</v>
      </c>
      <c r="F55" s="74" t="n">
        <f aca="false">0</f>
        <v>0</v>
      </c>
      <c r="G55" s="74" t="n">
        <f aca="false">0</f>
        <v>0</v>
      </c>
      <c r="H55" s="74" t="n">
        <f aca="false">0</f>
        <v>0</v>
      </c>
      <c r="I55" s="74" t="n">
        <f aca="false">0</f>
        <v>0</v>
      </c>
      <c r="J55" s="74" t="n">
        <f aca="false">0</f>
        <v>0</v>
      </c>
      <c r="K55" s="74" t="n">
        <f aca="false">0</f>
        <v>0</v>
      </c>
      <c r="L55" s="74" t="n">
        <f aca="false">0</f>
        <v>0</v>
      </c>
      <c r="M55" s="74" t="n">
        <f aca="false">0</f>
        <v>0</v>
      </c>
      <c r="N55" s="74" t="n">
        <f aca="false">0</f>
        <v>0</v>
      </c>
      <c r="O55" s="74" t="n">
        <f aca="false">0</f>
        <v>0</v>
      </c>
      <c r="P55" s="74" t="n">
        <f aca="false">0</f>
        <v>0</v>
      </c>
      <c r="Q55" s="74" t="n">
        <f aca="false">0</f>
        <v>0</v>
      </c>
      <c r="R55" s="74" t="n">
        <f aca="false">0</f>
        <v>0</v>
      </c>
      <c r="S55" s="74" t="n">
        <f aca="false">0</f>
        <v>0</v>
      </c>
      <c r="T55" s="74" t="n">
        <f aca="false">0</f>
        <v>0</v>
      </c>
      <c r="U55" s="74" t="n">
        <f aca="false">0</f>
        <v>0</v>
      </c>
      <c r="V55" s="74" t="n">
        <f aca="false">0</f>
        <v>0</v>
      </c>
      <c r="W55" s="74" t="n">
        <f aca="false">0</f>
        <v>0</v>
      </c>
      <c r="X55" s="74" t="n">
        <f aca="false">0</f>
        <v>0</v>
      </c>
      <c r="Y55" s="74" t="n">
        <f aca="false">0</f>
        <v>0</v>
      </c>
      <c r="Z55" s="65" t="n">
        <f aca="false">IF(Z$5="A",0,New_Business!Z11)</f>
        <v>7364.2527</v>
      </c>
      <c r="AA55" s="65" t="n">
        <f aca="false">IF(AA$5="A",0,Z55*(1-Assumptions!$C$112*Assumptions!$F$169+Assumptions!$C$118*Assumptions!$F$171-Assumptions!$C$119*Assumptions!$F$169)*(1+Assumptions!AA$198))</f>
        <v>7110.92240712</v>
      </c>
      <c r="AB55" s="65" t="n">
        <f aca="false">IF(AB$5="A",0,AA55*(1-Assumptions!$C$112*Assumptions!$F$169+Assumptions!$C$118*Assumptions!$F$171-Assumptions!$C$119*Assumptions!$F$169)*(1+Assumptions!AB$198))</f>
        <v>6866.30667631507</v>
      </c>
    </row>
    <row r="56" customFormat="false" ht="15" hidden="false" customHeight="false" outlineLevel="0" collapsed="false">
      <c r="A56" s="28" t="s">
        <v>919</v>
      </c>
      <c r="B56" s="63" t="s">
        <v>872</v>
      </c>
      <c r="C56" s="64" t="n">
        <f aca="false">P56</f>
        <v>0</v>
      </c>
      <c r="D56" s="64" t="n">
        <f aca="false">AB56</f>
        <v>6476.26597128</v>
      </c>
      <c r="E56" s="74" t="n">
        <f aca="false">0</f>
        <v>0</v>
      </c>
      <c r="F56" s="74" t="n">
        <f aca="false">0</f>
        <v>0</v>
      </c>
      <c r="G56" s="74" t="n">
        <f aca="false">0</f>
        <v>0</v>
      </c>
      <c r="H56" s="74" t="n">
        <f aca="false">0</f>
        <v>0</v>
      </c>
      <c r="I56" s="74" t="n">
        <f aca="false">0</f>
        <v>0</v>
      </c>
      <c r="J56" s="74" t="n">
        <f aca="false">0</f>
        <v>0</v>
      </c>
      <c r="K56" s="74" t="n">
        <f aca="false">0</f>
        <v>0</v>
      </c>
      <c r="L56" s="74" t="n">
        <f aca="false">0</f>
        <v>0</v>
      </c>
      <c r="M56" s="74" t="n">
        <f aca="false">0</f>
        <v>0</v>
      </c>
      <c r="N56" s="74" t="n">
        <f aca="false">0</f>
        <v>0</v>
      </c>
      <c r="O56" s="74" t="n">
        <f aca="false">0</f>
        <v>0</v>
      </c>
      <c r="P56" s="74" t="n">
        <f aca="false">0</f>
        <v>0</v>
      </c>
      <c r="Q56" s="74" t="n">
        <f aca="false">0</f>
        <v>0</v>
      </c>
      <c r="R56" s="74" t="n">
        <f aca="false">0</f>
        <v>0</v>
      </c>
      <c r="S56" s="74" t="n">
        <f aca="false">0</f>
        <v>0</v>
      </c>
      <c r="T56" s="74" t="n">
        <f aca="false">0</f>
        <v>0</v>
      </c>
      <c r="U56" s="74" t="n">
        <f aca="false">0</f>
        <v>0</v>
      </c>
      <c r="V56" s="74" t="n">
        <f aca="false">0</f>
        <v>0</v>
      </c>
      <c r="W56" s="74" t="n">
        <f aca="false">0</f>
        <v>0</v>
      </c>
      <c r="X56" s="74" t="n">
        <f aca="false">0</f>
        <v>0</v>
      </c>
      <c r="Y56" s="74" t="n">
        <f aca="false">0</f>
        <v>0</v>
      </c>
      <c r="Z56" s="74" t="n">
        <f aca="false">0</f>
        <v>0</v>
      </c>
      <c r="AA56" s="65" t="n">
        <f aca="false">IF(AA$5="A",0,New_Business!AA11)</f>
        <v>6706.9863</v>
      </c>
      <c r="AB56" s="65" t="n">
        <f aca="false">IF(AB$5="A",0,AA56*(1-Assumptions!$C$112*Assumptions!$F$169+Assumptions!$C$118*Assumptions!$F$171-Assumptions!$C$119*Assumptions!$F$169)*(1+Assumptions!AB$198))</f>
        <v>6476.26597128</v>
      </c>
    </row>
    <row r="57" customFormat="false" ht="15" hidden="false" customHeight="false" outlineLevel="0" collapsed="false">
      <c r="A57" s="28" t="s">
        <v>920</v>
      </c>
      <c r="B57" s="63" t="s">
        <v>872</v>
      </c>
      <c r="C57" s="64" t="n">
        <f aca="false">P57</f>
        <v>0</v>
      </c>
      <c r="D57" s="64" t="n">
        <f aca="false">AB57</f>
        <v>5588.72055</v>
      </c>
      <c r="E57" s="74" t="n">
        <f aca="false">0</f>
        <v>0</v>
      </c>
      <c r="F57" s="74" t="n">
        <f aca="false">0</f>
        <v>0</v>
      </c>
      <c r="G57" s="74" t="n">
        <f aca="false">0</f>
        <v>0</v>
      </c>
      <c r="H57" s="74" t="n">
        <f aca="false">0</f>
        <v>0</v>
      </c>
      <c r="I57" s="74" t="n">
        <f aca="false">0</f>
        <v>0</v>
      </c>
      <c r="J57" s="74" t="n">
        <f aca="false">0</f>
        <v>0</v>
      </c>
      <c r="K57" s="74" t="n">
        <f aca="false">0</f>
        <v>0</v>
      </c>
      <c r="L57" s="74" t="n">
        <f aca="false">0</f>
        <v>0</v>
      </c>
      <c r="M57" s="74" t="n">
        <f aca="false">0</f>
        <v>0</v>
      </c>
      <c r="N57" s="74" t="n">
        <f aca="false">0</f>
        <v>0</v>
      </c>
      <c r="O57" s="74" t="n">
        <f aca="false">0</f>
        <v>0</v>
      </c>
      <c r="P57" s="74" t="n">
        <f aca="false">0</f>
        <v>0</v>
      </c>
      <c r="Q57" s="74" t="n">
        <f aca="false">0</f>
        <v>0</v>
      </c>
      <c r="R57" s="74" t="n">
        <f aca="false">0</f>
        <v>0</v>
      </c>
      <c r="S57" s="74" t="n">
        <f aca="false">0</f>
        <v>0</v>
      </c>
      <c r="T57" s="74" t="n">
        <f aca="false">0</f>
        <v>0</v>
      </c>
      <c r="U57" s="74" t="n">
        <f aca="false">0</f>
        <v>0</v>
      </c>
      <c r="V57" s="74" t="n">
        <f aca="false">0</f>
        <v>0</v>
      </c>
      <c r="W57" s="74" t="n">
        <f aca="false">0</f>
        <v>0</v>
      </c>
      <c r="X57" s="74" t="n">
        <f aca="false">0</f>
        <v>0</v>
      </c>
      <c r="Y57" s="74" t="n">
        <f aca="false">0</f>
        <v>0</v>
      </c>
      <c r="Z57" s="74" t="n">
        <f aca="false">0</f>
        <v>0</v>
      </c>
      <c r="AA57" s="74" t="n">
        <f aca="false">0</f>
        <v>0</v>
      </c>
      <c r="AB57" s="65" t="n">
        <f aca="false">IF(AB$5="A",0,New_Business!AB11)</f>
        <v>5588.72055</v>
      </c>
    </row>
    <row r="58" customFormat="false" ht="15" hidden="false" customHeight="false" outlineLevel="0" collapsed="false">
      <c r="A58" s="59" t="s">
        <v>921</v>
      </c>
      <c r="B58" s="60"/>
      <c r="C58" s="61" t="n">
        <f aca="false">P58</f>
        <v>206620.769301376</v>
      </c>
      <c r="D58" s="61" t="n">
        <f aca="false">AB58</f>
        <v>251118.00469831</v>
      </c>
      <c r="E58" s="61" t="n">
        <f aca="false">SUM(E9:E57)</f>
        <v>174978.24</v>
      </c>
      <c r="F58" s="61" t="n">
        <f aca="false">SUM(F9:F57)</f>
        <v>177795.19</v>
      </c>
      <c r="G58" s="61" t="n">
        <f aca="false">SUM(G9:G57)</f>
        <v>182441.8</v>
      </c>
      <c r="H58" s="61" t="n">
        <f aca="false">SUM(H9:H57)</f>
        <v>185266.36</v>
      </c>
      <c r="I58" s="61" t="n">
        <f aca="false">SUM(I9:I57)</f>
        <v>186670.07</v>
      </c>
      <c r="J58" s="61" t="n">
        <f aca="false">SUM(J9:J57)</f>
        <v>188010.67</v>
      </c>
      <c r="K58" s="61" t="n">
        <f aca="false">SUM(K9:K57)</f>
        <v>193092.08</v>
      </c>
      <c r="L58" s="61" t="n">
        <f aca="false">SUM(L9:L57)</f>
        <v>193793.2</v>
      </c>
      <c r="M58" s="61" t="n">
        <f aca="false">SUM(M9:M57)</f>
        <v>197510.54199</v>
      </c>
      <c r="N58" s="61" t="n">
        <f aca="false">SUM(N9:N57)</f>
        <v>201389.981659303</v>
      </c>
      <c r="O58" s="61" t="n">
        <f aca="false">SUM(O9:O57)</f>
        <v>204577.130406235</v>
      </c>
      <c r="P58" s="61" t="n">
        <f aca="false">SUM(P9:P57)</f>
        <v>206620.769301376</v>
      </c>
      <c r="Q58" s="61" t="n">
        <f aca="false">SUM(Q9:Q57)</f>
        <v>221529.16542104</v>
      </c>
      <c r="R58" s="61" t="n">
        <f aca="false">SUM(R9:R57)</f>
        <v>225107.101002617</v>
      </c>
      <c r="S58" s="61" t="n">
        <f aca="false">SUM(S9:S57)</f>
        <v>228435.848599049</v>
      </c>
      <c r="T58" s="61" t="n">
        <f aca="false">SUM(T9:T57)</f>
        <v>231378.848655521</v>
      </c>
      <c r="U58" s="61" t="n">
        <f aca="false">SUM(U9:U57)</f>
        <v>234298.743785971</v>
      </c>
      <c r="V58" s="61" t="n">
        <f aca="false">SUM(V9:V57)</f>
        <v>236849.87830248</v>
      </c>
      <c r="W58" s="61" t="n">
        <f aca="false">SUM(W9:W57)</f>
        <v>238726.323980879</v>
      </c>
      <c r="X58" s="61" t="n">
        <f aca="false">SUM(X9:X57)</f>
        <v>239484.052549134</v>
      </c>
      <c r="Y58" s="61" t="n">
        <f aca="false">SUM(Y9:Y57)</f>
        <v>242896.501665807</v>
      </c>
      <c r="Z58" s="61" t="n">
        <f aca="false">SUM(Z9:Z57)</f>
        <v>246515.843407558</v>
      </c>
      <c r="AA58" s="61" t="n">
        <f aca="false">SUM(AA9:AA57)</f>
        <v>249407.831021413</v>
      </c>
      <c r="AB58" s="61" t="n">
        <f aca="false">SUM(AB9:AB57)</f>
        <v>251118.00469831</v>
      </c>
    </row>
    <row r="59" customFormat="false" ht="15" hidden="false" customHeight="false" outlineLevel="0" collapsed="false">
      <c r="A59" s="22" t="s">
        <v>922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row>
    <row r="60" customFormat="false" ht="15" hidden="false" customHeight="false" outlineLevel="0" collapsed="false">
      <c r="A60" s="28" t="s">
        <v>789</v>
      </c>
      <c r="B60" s="63" t="s">
        <v>923</v>
      </c>
      <c r="C60" s="68" t="n">
        <f aca="false">P60</f>
        <v>229.65228762025</v>
      </c>
      <c r="D60" s="68" t="n">
        <f aca="false">AB60</f>
        <v>178.017655688825</v>
      </c>
      <c r="E60" s="69" t="n">
        <f aca="false">IF(E$5="A",Inputs_Actuals!E43,History!$F$48*(1-Assumptions!$C$117*Assumptions!$F$169))</f>
        <v>288</v>
      </c>
      <c r="F60" s="69" t="n">
        <f aca="false">IF(F$5="A",Inputs_Actuals!F43,E60*(1-Assumptions!$C$117*Assumptions!$F$169))</f>
        <v>280</v>
      </c>
      <c r="G60" s="69" t="n">
        <f aca="false">IF(G$5="A",Inputs_Actuals!G43,F60*(1-Assumptions!$C$117*Assumptions!$F$169))</f>
        <v>277</v>
      </c>
      <c r="H60" s="69" t="n">
        <f aca="false">IF(H$5="A",Inputs_Actuals!H43,G60*(1-Assumptions!$C$117*Assumptions!$F$169))</f>
        <v>271</v>
      </c>
      <c r="I60" s="69" t="n">
        <f aca="false">IF(I$5="A",Inputs_Actuals!I43,H60*(1-Assumptions!$C$117*Assumptions!$F$169))</f>
        <v>264</v>
      </c>
      <c r="J60" s="69" t="n">
        <f aca="false">IF(J$5="A",Inputs_Actuals!J43,I60*(1-Assumptions!$C$117*Assumptions!$F$169))</f>
        <v>257</v>
      </c>
      <c r="K60" s="69" t="n">
        <f aca="false">IF(K$5="A",Inputs_Actuals!K43,J60*(1-Assumptions!$C$117*Assumptions!$F$169))</f>
        <v>257</v>
      </c>
      <c r="L60" s="69" t="n">
        <f aca="false">IF(L$5="A",Inputs_Actuals!L43,K60*(1-Assumptions!$C$117*Assumptions!$F$169))</f>
        <v>250</v>
      </c>
      <c r="M60" s="69" t="n">
        <f aca="false">IF(M$5="A",Inputs_Actuals!M43,L60*(1-Assumptions!$C$117*Assumptions!$F$169))</f>
        <v>244.75</v>
      </c>
      <c r="N60" s="69" t="n">
        <f aca="false">IF(N$5="A",Inputs_Actuals!N43,M60*(1-Assumptions!$C$117*Assumptions!$F$169))</f>
        <v>239.61025</v>
      </c>
      <c r="O60" s="69" t="n">
        <f aca="false">IF(O$5="A",Inputs_Actuals!O43,N60*(1-Assumptions!$C$117*Assumptions!$F$169))</f>
        <v>234.57843475</v>
      </c>
      <c r="P60" s="69" t="n">
        <f aca="false">IF(P$5="A",Inputs_Actuals!P43,O60*(1-Assumptions!$C$117*Assumptions!$F$169))</f>
        <v>229.65228762025</v>
      </c>
      <c r="Q60" s="69" t="n">
        <f aca="false">IF(Q$5="A",Inputs_Actuals!Q43,P60*(1-Assumptions!$C$117*Assumptions!$F$169))</f>
        <v>224.829589580225</v>
      </c>
      <c r="R60" s="69" t="n">
        <f aca="false">IF(R$5="A",Inputs_Actuals!R43,Q60*(1-Assumptions!$C$117*Assumptions!$F$169))</f>
        <v>220.10816819904</v>
      </c>
      <c r="S60" s="69" t="n">
        <f aca="false">IF(S$5="A",Inputs_Actuals!S43,R60*(1-Assumptions!$C$117*Assumptions!$F$169))</f>
        <v>215.48589666686</v>
      </c>
      <c r="T60" s="69" t="n">
        <f aca="false">IF(T$5="A",Inputs_Actuals!T43,S60*(1-Assumptions!$C$117*Assumptions!$F$169))</f>
        <v>210.960692836856</v>
      </c>
      <c r="U60" s="69" t="n">
        <f aca="false">IF(U$5="A",Inputs_Actuals!U43,T60*(1-Assumptions!$C$117*Assumptions!$F$169))</f>
        <v>206.530518287282</v>
      </c>
      <c r="V60" s="69" t="n">
        <f aca="false">IF(V$5="A",Inputs_Actuals!V43,U60*(1-Assumptions!$C$117*Assumptions!$F$169))</f>
        <v>202.193377403249</v>
      </c>
      <c r="W60" s="69" t="n">
        <f aca="false">IF(W$5="A",Inputs_Actuals!W43,V60*(1-Assumptions!$C$117*Assumptions!$F$169))</f>
        <v>197.947316477781</v>
      </c>
      <c r="X60" s="69" t="n">
        <f aca="false">IF(X$5="A",Inputs_Actuals!X43,W60*(1-Assumptions!$C$117*Assumptions!$F$169))</f>
        <v>193.790422831748</v>
      </c>
      <c r="Y60" s="69" t="n">
        <f aca="false">IF(Y$5="A",Inputs_Actuals!Y43,X60*(1-Assumptions!$C$117*Assumptions!$F$169))</f>
        <v>189.720823952281</v>
      </c>
      <c r="Z60" s="69" t="n">
        <f aca="false">IF(Z$5="A",Inputs_Actuals!Z43,Y60*(1-Assumptions!$C$117*Assumptions!$F$169))</f>
        <v>185.736686649283</v>
      </c>
      <c r="AA60" s="69" t="n">
        <f aca="false">IF(AA$5="A",Inputs_Actuals!AA43,Z60*(1-Assumptions!$C$117*Assumptions!$F$169))</f>
        <v>181.836216229648</v>
      </c>
      <c r="AB60" s="69" t="n">
        <f aca="false">IF(AB$5="A",Inputs_Actuals!AB43,AA60*(1-Assumptions!$C$117*Assumptions!$F$169))</f>
        <v>178.017655688825</v>
      </c>
    </row>
    <row r="61" customFormat="false" ht="15" hidden="false" customHeight="false" outlineLevel="0" collapsed="false">
      <c r="A61" s="28" t="s">
        <v>873</v>
      </c>
      <c r="B61" s="63" t="s">
        <v>923</v>
      </c>
      <c r="C61" s="68" t="n">
        <f aca="false">P61</f>
        <v>11.941918956253</v>
      </c>
      <c r="D61" s="68" t="n">
        <f aca="false">AB61</f>
        <v>9.25691809581892</v>
      </c>
      <c r="E61" s="69" t="n">
        <f aca="false">IF(E$5="A",Inputs_Actuals!E44,History!$F$49*(1-Assumptions!$C$117*Assumptions!$F$169))</f>
        <v>14</v>
      </c>
      <c r="F61" s="69" t="n">
        <f aca="false">IF(F$5="A",Inputs_Actuals!F44,E61*(1-Assumptions!$C$117*Assumptions!$F$169))</f>
        <v>14</v>
      </c>
      <c r="G61" s="69" t="n">
        <f aca="false">IF(G$5="A",Inputs_Actuals!G44,F61*(1-Assumptions!$C$117*Assumptions!$F$169))</f>
        <v>13</v>
      </c>
      <c r="H61" s="69" t="n">
        <f aca="false">IF(H$5="A",Inputs_Actuals!H44,G61*(1-Assumptions!$C$117*Assumptions!$F$169))</f>
        <v>13</v>
      </c>
      <c r="I61" s="69" t="n">
        <f aca="false">IF(I$5="A",Inputs_Actuals!I44,H61*(1-Assumptions!$C$117*Assumptions!$F$169))</f>
        <v>13</v>
      </c>
      <c r="J61" s="69" t="n">
        <f aca="false">IF(J$5="A",Inputs_Actuals!J44,I61*(1-Assumptions!$C$117*Assumptions!$F$169))</f>
        <v>13</v>
      </c>
      <c r="K61" s="69" t="n">
        <f aca="false">IF(K$5="A",Inputs_Actuals!K44,J61*(1-Assumptions!$C$117*Assumptions!$F$169))</f>
        <v>13</v>
      </c>
      <c r="L61" s="69" t="n">
        <f aca="false">IF(L$5="A",Inputs_Actuals!L44,K61*(1-Assumptions!$C$117*Assumptions!$F$169))</f>
        <v>13</v>
      </c>
      <c r="M61" s="69" t="n">
        <f aca="false">IF(M$5="A",Inputs_Actuals!M44,L61*(1-Assumptions!$C$117*Assumptions!$F$169))</f>
        <v>12.727</v>
      </c>
      <c r="N61" s="69" t="n">
        <f aca="false">IF(N$5="A",Inputs_Actuals!N44,M61*(1-Assumptions!$C$117*Assumptions!$F$169))</f>
        <v>12.459733</v>
      </c>
      <c r="O61" s="69" t="n">
        <f aca="false">IF(O$5="A",Inputs_Actuals!O44,N61*(1-Assumptions!$C$117*Assumptions!$F$169))</f>
        <v>12.198078607</v>
      </c>
      <c r="P61" s="69" t="n">
        <f aca="false">IF(P$5="A",Inputs_Actuals!P44,O61*(1-Assumptions!$C$117*Assumptions!$F$169))</f>
        <v>11.941918956253</v>
      </c>
      <c r="Q61" s="69" t="n">
        <f aca="false">IF(Q$5="A",Inputs_Actuals!Q44,P61*(1-Assumptions!$C$117*Assumptions!$F$169))</f>
        <v>11.6911386581717</v>
      </c>
      <c r="R61" s="69" t="n">
        <f aca="false">IF(R$5="A",Inputs_Actuals!R44,Q61*(1-Assumptions!$C$117*Assumptions!$F$169))</f>
        <v>11.4456247463501</v>
      </c>
      <c r="S61" s="69" t="n">
        <f aca="false">IF(S$5="A",Inputs_Actuals!S44,R61*(1-Assumptions!$C$117*Assumptions!$F$169))</f>
        <v>11.2052666266767</v>
      </c>
      <c r="T61" s="69" t="n">
        <f aca="false">IF(T$5="A",Inputs_Actuals!T44,S61*(1-Assumptions!$C$117*Assumptions!$F$169))</f>
        <v>10.9699560275165</v>
      </c>
      <c r="U61" s="69" t="n">
        <f aca="false">IF(U$5="A",Inputs_Actuals!U44,T61*(1-Assumptions!$C$117*Assumptions!$F$169))</f>
        <v>10.7395869509387</v>
      </c>
      <c r="V61" s="69" t="n">
        <f aca="false">IF(V$5="A",Inputs_Actuals!V44,U61*(1-Assumptions!$C$117*Assumptions!$F$169))</f>
        <v>10.514055624969</v>
      </c>
      <c r="W61" s="69" t="n">
        <f aca="false">IF(W$5="A",Inputs_Actuals!W44,V61*(1-Assumptions!$C$117*Assumptions!$F$169))</f>
        <v>10.2932604568446</v>
      </c>
      <c r="X61" s="69" t="n">
        <f aca="false">IF(X$5="A",Inputs_Actuals!X44,W61*(1-Assumptions!$C$117*Assumptions!$F$169))</f>
        <v>10.0771019872509</v>
      </c>
      <c r="Y61" s="69" t="n">
        <f aca="false">IF(Y$5="A",Inputs_Actuals!Y44,X61*(1-Assumptions!$C$117*Assumptions!$F$169))</f>
        <v>9.8654828455186</v>
      </c>
      <c r="Z61" s="69" t="n">
        <f aca="false">IF(Z$5="A",Inputs_Actuals!Z44,Y61*(1-Assumptions!$C$117*Assumptions!$F$169))</f>
        <v>9.65830770576271</v>
      </c>
      <c r="AA61" s="69" t="n">
        <f aca="false">IF(AA$5="A",Inputs_Actuals!AA44,Z61*(1-Assumptions!$C$117*Assumptions!$F$169))</f>
        <v>9.45548324394169</v>
      </c>
      <c r="AB61" s="69" t="n">
        <f aca="false">IF(AB$5="A",Inputs_Actuals!AB44,AA61*(1-Assumptions!$C$117*Assumptions!$F$169))</f>
        <v>9.25691809581892</v>
      </c>
    </row>
    <row r="62" customFormat="false" ht="15" hidden="false" customHeight="false" outlineLevel="0" collapsed="false">
      <c r="A62" s="28" t="s">
        <v>874</v>
      </c>
      <c r="B62" s="63" t="s">
        <v>923</v>
      </c>
      <c r="C62" s="68" t="n">
        <f aca="false">P62</f>
        <v>14.697746407696</v>
      </c>
      <c r="D62" s="68" t="n">
        <f aca="false">AB62</f>
        <v>11.3931299640848</v>
      </c>
      <c r="E62" s="69" t="n">
        <f aca="false">IF(E$5="A",Inputs_Actuals!E45,History!$F$50*(1-Assumptions!$C$117*Assumptions!$F$169))</f>
        <v>17</v>
      </c>
      <c r="F62" s="69" t="n">
        <f aca="false">IF(F$5="A",Inputs_Actuals!F45,E62*(1-Assumptions!$C$117*Assumptions!$F$169))</f>
        <v>17</v>
      </c>
      <c r="G62" s="69" t="n">
        <f aca="false">IF(G$5="A",Inputs_Actuals!G45,F62*(1-Assumptions!$C$117*Assumptions!$F$169))</f>
        <v>17</v>
      </c>
      <c r="H62" s="69" t="n">
        <f aca="false">IF(H$5="A",Inputs_Actuals!H45,G62*(1-Assumptions!$C$117*Assumptions!$F$169))</f>
        <v>17</v>
      </c>
      <c r="I62" s="69" t="n">
        <f aca="false">IF(I$5="A",Inputs_Actuals!I45,H62*(1-Assumptions!$C$117*Assumptions!$F$169))</f>
        <v>17</v>
      </c>
      <c r="J62" s="69" t="n">
        <f aca="false">IF(J$5="A",Inputs_Actuals!J45,I62*(1-Assumptions!$C$117*Assumptions!$F$169))</f>
        <v>17</v>
      </c>
      <c r="K62" s="69" t="n">
        <f aca="false">IF(K$5="A",Inputs_Actuals!K45,J62*(1-Assumptions!$C$117*Assumptions!$F$169))</f>
        <v>16</v>
      </c>
      <c r="L62" s="69" t="n">
        <f aca="false">IF(L$5="A",Inputs_Actuals!L45,K62*(1-Assumptions!$C$117*Assumptions!$F$169))</f>
        <v>16</v>
      </c>
      <c r="M62" s="69" t="n">
        <f aca="false">IF(M$5="A",Inputs_Actuals!M45,L62*(1-Assumptions!$C$117*Assumptions!$F$169))</f>
        <v>15.664</v>
      </c>
      <c r="N62" s="69" t="n">
        <f aca="false">IF(N$5="A",Inputs_Actuals!N45,M62*(1-Assumptions!$C$117*Assumptions!$F$169))</f>
        <v>15.335056</v>
      </c>
      <c r="O62" s="69" t="n">
        <f aca="false">IF(O$5="A",Inputs_Actuals!O45,N62*(1-Assumptions!$C$117*Assumptions!$F$169))</f>
        <v>15.013019824</v>
      </c>
      <c r="P62" s="69" t="n">
        <f aca="false">IF(P$5="A",Inputs_Actuals!P45,O62*(1-Assumptions!$C$117*Assumptions!$F$169))</f>
        <v>14.697746407696</v>
      </c>
      <c r="Q62" s="69" t="n">
        <f aca="false">IF(Q$5="A",Inputs_Actuals!Q45,P62*(1-Assumptions!$C$117*Assumptions!$F$169))</f>
        <v>14.3890937331344</v>
      </c>
      <c r="R62" s="69" t="n">
        <f aca="false">IF(R$5="A",Inputs_Actuals!R45,Q62*(1-Assumptions!$C$117*Assumptions!$F$169))</f>
        <v>14.0869227647386</v>
      </c>
      <c r="S62" s="69" t="n">
        <f aca="false">IF(S$5="A",Inputs_Actuals!S45,R62*(1-Assumptions!$C$117*Assumptions!$F$169))</f>
        <v>13.7910973866791</v>
      </c>
      <c r="T62" s="69" t="n">
        <f aca="false">IF(T$5="A",Inputs_Actuals!T45,S62*(1-Assumptions!$C$117*Assumptions!$F$169))</f>
        <v>13.5014843415588</v>
      </c>
      <c r="U62" s="69" t="n">
        <f aca="false">IF(U$5="A",Inputs_Actuals!U45,T62*(1-Assumptions!$C$117*Assumptions!$F$169))</f>
        <v>13.2179531703861</v>
      </c>
      <c r="V62" s="69" t="n">
        <f aca="false">IF(V$5="A",Inputs_Actuals!V45,U62*(1-Assumptions!$C$117*Assumptions!$F$169))</f>
        <v>12.9403761538079</v>
      </c>
      <c r="W62" s="69" t="n">
        <f aca="false">IF(W$5="A",Inputs_Actuals!W45,V62*(1-Assumptions!$C$117*Assumptions!$F$169))</f>
        <v>12.668628254578</v>
      </c>
      <c r="X62" s="69" t="n">
        <f aca="false">IF(X$5="A",Inputs_Actuals!X45,W62*(1-Assumptions!$C$117*Assumptions!$F$169))</f>
        <v>12.4025870612318</v>
      </c>
      <c r="Y62" s="69" t="n">
        <f aca="false">IF(Y$5="A",Inputs_Actuals!Y45,X62*(1-Assumptions!$C$117*Assumptions!$F$169))</f>
        <v>12.142132732946</v>
      </c>
      <c r="Z62" s="69" t="n">
        <f aca="false">IF(Z$5="A",Inputs_Actuals!Z45,Y62*(1-Assumptions!$C$117*Assumptions!$F$169))</f>
        <v>11.8871479455541</v>
      </c>
      <c r="AA62" s="69" t="n">
        <f aca="false">IF(AA$5="A",Inputs_Actuals!AA45,Z62*(1-Assumptions!$C$117*Assumptions!$F$169))</f>
        <v>11.6375178386975</v>
      </c>
      <c r="AB62" s="69" t="n">
        <f aca="false">IF(AB$5="A",Inputs_Actuals!AB45,AA62*(1-Assumptions!$C$117*Assumptions!$F$169))</f>
        <v>11.3931299640848</v>
      </c>
    </row>
    <row r="63" customFormat="false" ht="15" hidden="false" customHeight="false" outlineLevel="0" collapsed="false">
      <c r="A63" s="28" t="s">
        <v>875</v>
      </c>
      <c r="B63" s="63" t="s">
        <v>923</v>
      </c>
      <c r="C63" s="68" t="n">
        <f aca="false">P63</f>
        <v>11.941918956253</v>
      </c>
      <c r="D63" s="68" t="n">
        <f aca="false">AB63</f>
        <v>9.25691809581892</v>
      </c>
      <c r="E63" s="69" t="n">
        <f aca="false">IF(E$5="A",Inputs_Actuals!E46,History!$F$51*(1-Assumptions!$C$117*Assumptions!$F$169))</f>
        <v>14</v>
      </c>
      <c r="F63" s="69" t="n">
        <f aca="false">IF(F$5="A",Inputs_Actuals!F46,E63*(1-Assumptions!$C$117*Assumptions!$F$169))</f>
        <v>14</v>
      </c>
      <c r="G63" s="69" t="n">
        <f aca="false">IF(G$5="A",Inputs_Actuals!G46,F63*(1-Assumptions!$C$117*Assumptions!$F$169))</f>
        <v>14</v>
      </c>
      <c r="H63" s="69" t="n">
        <f aca="false">IF(H$5="A",Inputs_Actuals!H46,G63*(1-Assumptions!$C$117*Assumptions!$F$169))</f>
        <v>14</v>
      </c>
      <c r="I63" s="69" t="n">
        <f aca="false">IF(I$5="A",Inputs_Actuals!I46,H63*(1-Assumptions!$C$117*Assumptions!$F$169))</f>
        <v>13</v>
      </c>
      <c r="J63" s="69" t="n">
        <f aca="false">IF(J$5="A",Inputs_Actuals!J46,I63*(1-Assumptions!$C$117*Assumptions!$F$169))</f>
        <v>13</v>
      </c>
      <c r="K63" s="69" t="n">
        <f aca="false">IF(K$5="A",Inputs_Actuals!K46,J63*(1-Assumptions!$C$117*Assumptions!$F$169))</f>
        <v>13</v>
      </c>
      <c r="L63" s="69" t="n">
        <f aca="false">IF(L$5="A",Inputs_Actuals!L46,K63*(1-Assumptions!$C$117*Assumptions!$F$169))</f>
        <v>13</v>
      </c>
      <c r="M63" s="69" t="n">
        <f aca="false">IF(M$5="A",Inputs_Actuals!M46,L63*(1-Assumptions!$C$117*Assumptions!$F$169))</f>
        <v>12.727</v>
      </c>
      <c r="N63" s="69" t="n">
        <f aca="false">IF(N$5="A",Inputs_Actuals!N46,M63*(1-Assumptions!$C$117*Assumptions!$F$169))</f>
        <v>12.459733</v>
      </c>
      <c r="O63" s="69" t="n">
        <f aca="false">IF(O$5="A",Inputs_Actuals!O46,N63*(1-Assumptions!$C$117*Assumptions!$F$169))</f>
        <v>12.198078607</v>
      </c>
      <c r="P63" s="69" t="n">
        <f aca="false">IF(P$5="A",Inputs_Actuals!P46,O63*(1-Assumptions!$C$117*Assumptions!$F$169))</f>
        <v>11.941918956253</v>
      </c>
      <c r="Q63" s="69" t="n">
        <f aca="false">IF(Q$5="A",Inputs_Actuals!Q46,P63*(1-Assumptions!$C$117*Assumptions!$F$169))</f>
        <v>11.6911386581717</v>
      </c>
      <c r="R63" s="69" t="n">
        <f aca="false">IF(R$5="A",Inputs_Actuals!R46,Q63*(1-Assumptions!$C$117*Assumptions!$F$169))</f>
        <v>11.4456247463501</v>
      </c>
      <c r="S63" s="69" t="n">
        <f aca="false">IF(S$5="A",Inputs_Actuals!S46,R63*(1-Assumptions!$C$117*Assumptions!$F$169))</f>
        <v>11.2052666266767</v>
      </c>
      <c r="T63" s="69" t="n">
        <f aca="false">IF(T$5="A",Inputs_Actuals!T46,S63*(1-Assumptions!$C$117*Assumptions!$F$169))</f>
        <v>10.9699560275165</v>
      </c>
      <c r="U63" s="69" t="n">
        <f aca="false">IF(U$5="A",Inputs_Actuals!U46,T63*(1-Assumptions!$C$117*Assumptions!$F$169))</f>
        <v>10.7395869509387</v>
      </c>
      <c r="V63" s="69" t="n">
        <f aca="false">IF(V$5="A",Inputs_Actuals!V46,U63*(1-Assumptions!$C$117*Assumptions!$F$169))</f>
        <v>10.514055624969</v>
      </c>
      <c r="W63" s="69" t="n">
        <f aca="false">IF(W$5="A",Inputs_Actuals!W46,V63*(1-Assumptions!$C$117*Assumptions!$F$169))</f>
        <v>10.2932604568446</v>
      </c>
      <c r="X63" s="69" t="n">
        <f aca="false">IF(X$5="A",Inputs_Actuals!X46,W63*(1-Assumptions!$C$117*Assumptions!$F$169))</f>
        <v>10.0771019872509</v>
      </c>
      <c r="Y63" s="69" t="n">
        <f aca="false">IF(Y$5="A",Inputs_Actuals!Y46,X63*(1-Assumptions!$C$117*Assumptions!$F$169))</f>
        <v>9.8654828455186</v>
      </c>
      <c r="Z63" s="69" t="n">
        <f aca="false">IF(Z$5="A",Inputs_Actuals!Z46,Y63*(1-Assumptions!$C$117*Assumptions!$F$169))</f>
        <v>9.65830770576271</v>
      </c>
      <c r="AA63" s="69" t="n">
        <f aca="false">IF(AA$5="A",Inputs_Actuals!AA46,Z63*(1-Assumptions!$C$117*Assumptions!$F$169))</f>
        <v>9.45548324394169</v>
      </c>
      <c r="AB63" s="69" t="n">
        <f aca="false">IF(AB$5="A",Inputs_Actuals!AB46,AA63*(1-Assumptions!$C$117*Assumptions!$F$169))</f>
        <v>9.25691809581892</v>
      </c>
    </row>
    <row r="64" customFormat="false" ht="15" hidden="false" customHeight="false" outlineLevel="0" collapsed="false">
      <c r="A64" s="28" t="s">
        <v>876</v>
      </c>
      <c r="B64" s="63" t="s">
        <v>923</v>
      </c>
      <c r="C64" s="68" t="n">
        <f aca="false">P64</f>
        <v>11.941918956253</v>
      </c>
      <c r="D64" s="68" t="n">
        <f aca="false">AB64</f>
        <v>9.25691809581892</v>
      </c>
      <c r="E64" s="69" t="n">
        <f aca="false">IF(E$5="A",Inputs_Actuals!E47,History!$F$52*(1-Assumptions!$C$117*Assumptions!$F$169))</f>
        <v>15</v>
      </c>
      <c r="F64" s="69" t="n">
        <f aca="false">IF(F$5="A",Inputs_Actuals!F47,E64*(1-Assumptions!$C$117*Assumptions!$F$169))</f>
        <v>15</v>
      </c>
      <c r="G64" s="69" t="n">
        <f aca="false">IF(G$5="A",Inputs_Actuals!G47,F64*(1-Assumptions!$C$117*Assumptions!$F$169))</f>
        <v>15</v>
      </c>
      <c r="H64" s="69" t="n">
        <f aca="false">IF(H$5="A",Inputs_Actuals!H47,G64*(1-Assumptions!$C$117*Assumptions!$F$169))</f>
        <v>14</v>
      </c>
      <c r="I64" s="69" t="n">
        <f aca="false">IF(I$5="A",Inputs_Actuals!I47,H64*(1-Assumptions!$C$117*Assumptions!$F$169))</f>
        <v>14</v>
      </c>
      <c r="J64" s="69" t="n">
        <f aca="false">IF(J$5="A",Inputs_Actuals!J47,I64*(1-Assumptions!$C$117*Assumptions!$F$169))</f>
        <v>14</v>
      </c>
      <c r="K64" s="69" t="n">
        <f aca="false">IF(K$5="A",Inputs_Actuals!K47,J64*(1-Assumptions!$C$117*Assumptions!$F$169))</f>
        <v>14</v>
      </c>
      <c r="L64" s="69" t="n">
        <f aca="false">IF(L$5="A",Inputs_Actuals!L47,K64*(1-Assumptions!$C$117*Assumptions!$F$169))</f>
        <v>13</v>
      </c>
      <c r="M64" s="69" t="n">
        <f aca="false">IF(M$5="A",Inputs_Actuals!M47,L64*(1-Assumptions!$C$117*Assumptions!$F$169))</f>
        <v>12.727</v>
      </c>
      <c r="N64" s="69" t="n">
        <f aca="false">IF(N$5="A",Inputs_Actuals!N47,M64*(1-Assumptions!$C$117*Assumptions!$F$169))</f>
        <v>12.459733</v>
      </c>
      <c r="O64" s="69" t="n">
        <f aca="false">IF(O$5="A",Inputs_Actuals!O47,N64*(1-Assumptions!$C$117*Assumptions!$F$169))</f>
        <v>12.198078607</v>
      </c>
      <c r="P64" s="69" t="n">
        <f aca="false">IF(P$5="A",Inputs_Actuals!P47,O64*(1-Assumptions!$C$117*Assumptions!$F$169))</f>
        <v>11.941918956253</v>
      </c>
      <c r="Q64" s="69" t="n">
        <f aca="false">IF(Q$5="A",Inputs_Actuals!Q47,P64*(1-Assumptions!$C$117*Assumptions!$F$169))</f>
        <v>11.6911386581717</v>
      </c>
      <c r="R64" s="69" t="n">
        <f aca="false">IF(R$5="A",Inputs_Actuals!R47,Q64*(1-Assumptions!$C$117*Assumptions!$F$169))</f>
        <v>11.4456247463501</v>
      </c>
      <c r="S64" s="69" t="n">
        <f aca="false">IF(S$5="A",Inputs_Actuals!S47,R64*(1-Assumptions!$C$117*Assumptions!$F$169))</f>
        <v>11.2052666266767</v>
      </c>
      <c r="T64" s="69" t="n">
        <f aca="false">IF(T$5="A",Inputs_Actuals!T47,S64*(1-Assumptions!$C$117*Assumptions!$F$169))</f>
        <v>10.9699560275165</v>
      </c>
      <c r="U64" s="69" t="n">
        <f aca="false">IF(U$5="A",Inputs_Actuals!U47,T64*(1-Assumptions!$C$117*Assumptions!$F$169))</f>
        <v>10.7395869509387</v>
      </c>
      <c r="V64" s="69" t="n">
        <f aca="false">IF(V$5="A",Inputs_Actuals!V47,U64*(1-Assumptions!$C$117*Assumptions!$F$169))</f>
        <v>10.514055624969</v>
      </c>
      <c r="W64" s="69" t="n">
        <f aca="false">IF(W$5="A",Inputs_Actuals!W47,V64*(1-Assumptions!$C$117*Assumptions!$F$169))</f>
        <v>10.2932604568446</v>
      </c>
      <c r="X64" s="69" t="n">
        <f aca="false">IF(X$5="A",Inputs_Actuals!X47,W64*(1-Assumptions!$C$117*Assumptions!$F$169))</f>
        <v>10.0771019872509</v>
      </c>
      <c r="Y64" s="69" t="n">
        <f aca="false">IF(Y$5="A",Inputs_Actuals!Y47,X64*(1-Assumptions!$C$117*Assumptions!$F$169))</f>
        <v>9.8654828455186</v>
      </c>
      <c r="Z64" s="69" t="n">
        <f aca="false">IF(Z$5="A",Inputs_Actuals!Z47,Y64*(1-Assumptions!$C$117*Assumptions!$F$169))</f>
        <v>9.65830770576271</v>
      </c>
      <c r="AA64" s="69" t="n">
        <f aca="false">IF(AA$5="A",Inputs_Actuals!AA47,Z64*(1-Assumptions!$C$117*Assumptions!$F$169))</f>
        <v>9.45548324394169</v>
      </c>
      <c r="AB64" s="69" t="n">
        <f aca="false">IF(AB$5="A",Inputs_Actuals!AB47,AA64*(1-Assumptions!$C$117*Assumptions!$F$169))</f>
        <v>9.25691809581892</v>
      </c>
    </row>
    <row r="65" customFormat="false" ht="15" hidden="false" customHeight="false" outlineLevel="0" collapsed="false">
      <c r="A65" s="28" t="s">
        <v>877</v>
      </c>
      <c r="B65" s="63" t="s">
        <v>923</v>
      </c>
      <c r="C65" s="68" t="n">
        <f aca="false">P65</f>
        <v>8.267482354329</v>
      </c>
      <c r="D65" s="68" t="n">
        <f aca="false">AB65</f>
        <v>6.40863560479771</v>
      </c>
      <c r="E65" s="69" t="n">
        <f aca="false">IF(E$5="A",Inputs_Actuals!E48,History!$F$53*(1-Assumptions!$C$117*Assumptions!$F$169))</f>
        <v>10</v>
      </c>
      <c r="F65" s="69" t="n">
        <f aca="false">IF(F$5="A",Inputs_Actuals!F48,E65*(1-Assumptions!$C$117*Assumptions!$F$169))</f>
        <v>10</v>
      </c>
      <c r="G65" s="69" t="n">
        <f aca="false">IF(G$5="A",Inputs_Actuals!G48,F65*(1-Assumptions!$C$117*Assumptions!$F$169))</f>
        <v>9</v>
      </c>
      <c r="H65" s="69" t="n">
        <f aca="false">IF(H$5="A",Inputs_Actuals!H48,G65*(1-Assumptions!$C$117*Assumptions!$F$169))</f>
        <v>9</v>
      </c>
      <c r="I65" s="69" t="n">
        <f aca="false">IF(I$5="A",Inputs_Actuals!I48,H65*(1-Assumptions!$C$117*Assumptions!$F$169))</f>
        <v>9</v>
      </c>
      <c r="J65" s="69" t="n">
        <f aca="false">IF(J$5="A",Inputs_Actuals!J48,I65*(1-Assumptions!$C$117*Assumptions!$F$169))</f>
        <v>9</v>
      </c>
      <c r="K65" s="69" t="n">
        <f aca="false">IF(K$5="A",Inputs_Actuals!K48,J65*(1-Assumptions!$C$117*Assumptions!$F$169))</f>
        <v>9</v>
      </c>
      <c r="L65" s="69" t="n">
        <f aca="false">IF(L$5="A",Inputs_Actuals!L48,K65*(1-Assumptions!$C$117*Assumptions!$F$169))</f>
        <v>9</v>
      </c>
      <c r="M65" s="69" t="n">
        <f aca="false">IF(M$5="A",Inputs_Actuals!M48,L65*(1-Assumptions!$C$117*Assumptions!$F$169))</f>
        <v>8.811</v>
      </c>
      <c r="N65" s="69" t="n">
        <f aca="false">IF(N$5="A",Inputs_Actuals!N48,M65*(1-Assumptions!$C$117*Assumptions!$F$169))</f>
        <v>8.625969</v>
      </c>
      <c r="O65" s="69" t="n">
        <f aca="false">IF(O$5="A",Inputs_Actuals!O48,N65*(1-Assumptions!$C$117*Assumptions!$F$169))</f>
        <v>8.444823651</v>
      </c>
      <c r="P65" s="69" t="n">
        <f aca="false">IF(P$5="A",Inputs_Actuals!P48,O65*(1-Assumptions!$C$117*Assumptions!$F$169))</f>
        <v>8.267482354329</v>
      </c>
      <c r="Q65" s="69" t="n">
        <f aca="false">IF(Q$5="A",Inputs_Actuals!Q48,P65*(1-Assumptions!$C$117*Assumptions!$F$169))</f>
        <v>8.09386522488809</v>
      </c>
      <c r="R65" s="69" t="n">
        <f aca="false">IF(R$5="A",Inputs_Actuals!R48,Q65*(1-Assumptions!$C$117*Assumptions!$F$169))</f>
        <v>7.92389405516544</v>
      </c>
      <c r="S65" s="69" t="n">
        <f aca="false">IF(S$5="A",Inputs_Actuals!S48,R65*(1-Assumptions!$C$117*Assumptions!$F$169))</f>
        <v>7.75749228000696</v>
      </c>
      <c r="T65" s="69" t="n">
        <f aca="false">IF(T$5="A",Inputs_Actuals!T48,S65*(1-Assumptions!$C$117*Assumptions!$F$169))</f>
        <v>7.59458494212682</v>
      </c>
      <c r="U65" s="69" t="n">
        <f aca="false">IF(U$5="A",Inputs_Actuals!U48,T65*(1-Assumptions!$C$117*Assumptions!$F$169))</f>
        <v>7.43509865834215</v>
      </c>
      <c r="V65" s="69" t="n">
        <f aca="false">IF(V$5="A",Inputs_Actuals!V48,U65*(1-Assumptions!$C$117*Assumptions!$F$169))</f>
        <v>7.27896158651697</v>
      </c>
      <c r="W65" s="69" t="n">
        <f aca="false">IF(W$5="A",Inputs_Actuals!W48,V65*(1-Assumptions!$C$117*Assumptions!$F$169))</f>
        <v>7.12610339320011</v>
      </c>
      <c r="X65" s="69" t="n">
        <f aca="false">IF(X$5="A",Inputs_Actuals!X48,W65*(1-Assumptions!$C$117*Assumptions!$F$169))</f>
        <v>6.97645522194291</v>
      </c>
      <c r="Y65" s="69" t="n">
        <f aca="false">IF(Y$5="A",Inputs_Actuals!Y48,X65*(1-Assumptions!$C$117*Assumptions!$F$169))</f>
        <v>6.82994966228211</v>
      </c>
      <c r="Z65" s="69" t="n">
        <f aca="false">IF(Z$5="A",Inputs_Actuals!Z48,Y65*(1-Assumptions!$C$117*Assumptions!$F$169))</f>
        <v>6.68652071937418</v>
      </c>
      <c r="AA65" s="69" t="n">
        <f aca="false">IF(AA$5="A",Inputs_Actuals!AA48,Z65*(1-Assumptions!$C$117*Assumptions!$F$169))</f>
        <v>6.54610378426733</v>
      </c>
      <c r="AB65" s="69" t="n">
        <f aca="false">IF(AB$5="A",Inputs_Actuals!AB48,AA65*(1-Assumptions!$C$117*Assumptions!$F$169))</f>
        <v>6.40863560479771</v>
      </c>
    </row>
    <row r="66" customFormat="false" ht="15" hidden="false" customHeight="false" outlineLevel="0" collapsed="false">
      <c r="A66" s="28" t="s">
        <v>878</v>
      </c>
      <c r="B66" s="63" t="s">
        <v>923</v>
      </c>
      <c r="C66" s="68" t="n">
        <f aca="false">P66</f>
        <v>5.511654902886</v>
      </c>
      <c r="D66" s="68" t="n">
        <f aca="false">AB66</f>
        <v>4.27242373653181</v>
      </c>
      <c r="E66" s="69" t="n">
        <f aca="false">IF(E$5="A",Inputs_Actuals!E49,History!$F$54*(1-Assumptions!$C$117*Assumptions!$F$169))</f>
        <v>8</v>
      </c>
      <c r="F66" s="69" t="n">
        <f aca="false">IF(F$5="A",Inputs_Actuals!F49,E66*(1-Assumptions!$C$117*Assumptions!$F$169))</f>
        <v>7</v>
      </c>
      <c r="G66" s="69" t="n">
        <f aca="false">IF(G$5="A",Inputs_Actuals!G49,F66*(1-Assumptions!$C$117*Assumptions!$F$169))</f>
        <v>7</v>
      </c>
      <c r="H66" s="69" t="n">
        <f aca="false">IF(H$5="A",Inputs_Actuals!H49,G66*(1-Assumptions!$C$117*Assumptions!$F$169))</f>
        <v>7</v>
      </c>
      <c r="I66" s="69" t="n">
        <f aca="false">IF(I$5="A",Inputs_Actuals!I49,H66*(1-Assumptions!$C$117*Assumptions!$F$169))</f>
        <v>6</v>
      </c>
      <c r="J66" s="69" t="n">
        <f aca="false">IF(J$5="A",Inputs_Actuals!J49,I66*(1-Assumptions!$C$117*Assumptions!$F$169))</f>
        <v>6</v>
      </c>
      <c r="K66" s="69" t="n">
        <f aca="false">IF(K$5="A",Inputs_Actuals!K49,J66*(1-Assumptions!$C$117*Assumptions!$F$169))</f>
        <v>6</v>
      </c>
      <c r="L66" s="69" t="n">
        <f aca="false">IF(L$5="A",Inputs_Actuals!L49,K66*(1-Assumptions!$C$117*Assumptions!$F$169))</f>
        <v>6</v>
      </c>
      <c r="M66" s="69" t="n">
        <f aca="false">IF(M$5="A",Inputs_Actuals!M49,L66*(1-Assumptions!$C$117*Assumptions!$F$169))</f>
        <v>5.874</v>
      </c>
      <c r="N66" s="69" t="n">
        <f aca="false">IF(N$5="A",Inputs_Actuals!N49,M66*(1-Assumptions!$C$117*Assumptions!$F$169))</f>
        <v>5.750646</v>
      </c>
      <c r="O66" s="69" t="n">
        <f aca="false">IF(O$5="A",Inputs_Actuals!O49,N66*(1-Assumptions!$C$117*Assumptions!$F$169))</f>
        <v>5.629882434</v>
      </c>
      <c r="P66" s="69" t="n">
        <f aca="false">IF(P$5="A",Inputs_Actuals!P49,O66*(1-Assumptions!$C$117*Assumptions!$F$169))</f>
        <v>5.511654902886</v>
      </c>
      <c r="Q66" s="69" t="n">
        <f aca="false">IF(Q$5="A",Inputs_Actuals!Q49,P66*(1-Assumptions!$C$117*Assumptions!$F$169))</f>
        <v>5.39591014992539</v>
      </c>
      <c r="R66" s="69" t="n">
        <f aca="false">IF(R$5="A",Inputs_Actuals!R49,Q66*(1-Assumptions!$C$117*Assumptions!$F$169))</f>
        <v>5.28259603677696</v>
      </c>
      <c r="S66" s="69" t="n">
        <f aca="false">IF(S$5="A",Inputs_Actuals!S49,R66*(1-Assumptions!$C$117*Assumptions!$F$169))</f>
        <v>5.17166152000464</v>
      </c>
      <c r="T66" s="69" t="n">
        <f aca="false">IF(T$5="A",Inputs_Actuals!T49,S66*(1-Assumptions!$C$117*Assumptions!$F$169))</f>
        <v>5.06305662808455</v>
      </c>
      <c r="U66" s="69" t="n">
        <f aca="false">IF(U$5="A",Inputs_Actuals!U49,T66*(1-Assumptions!$C$117*Assumptions!$F$169))</f>
        <v>4.95673243889477</v>
      </c>
      <c r="V66" s="69" t="n">
        <f aca="false">IF(V$5="A",Inputs_Actuals!V49,U66*(1-Assumptions!$C$117*Assumptions!$F$169))</f>
        <v>4.85264105767798</v>
      </c>
      <c r="W66" s="69" t="n">
        <f aca="false">IF(W$5="A",Inputs_Actuals!W49,V66*(1-Assumptions!$C$117*Assumptions!$F$169))</f>
        <v>4.75073559546674</v>
      </c>
      <c r="X66" s="69" t="n">
        <f aca="false">IF(X$5="A",Inputs_Actuals!X49,W66*(1-Assumptions!$C$117*Assumptions!$F$169))</f>
        <v>4.65097014796194</v>
      </c>
      <c r="Y66" s="69" t="n">
        <f aca="false">IF(Y$5="A",Inputs_Actuals!Y49,X66*(1-Assumptions!$C$117*Assumptions!$F$169))</f>
        <v>4.55329977485474</v>
      </c>
      <c r="Z66" s="69" t="n">
        <f aca="false">IF(Z$5="A",Inputs_Actuals!Z49,Y66*(1-Assumptions!$C$117*Assumptions!$F$169))</f>
        <v>4.45768047958279</v>
      </c>
      <c r="AA66" s="69" t="n">
        <f aca="false">IF(AA$5="A",Inputs_Actuals!AA49,Z66*(1-Assumptions!$C$117*Assumptions!$F$169))</f>
        <v>4.36406918951155</v>
      </c>
      <c r="AB66" s="69" t="n">
        <f aca="false">IF(AB$5="A",Inputs_Actuals!AB49,AA66*(1-Assumptions!$C$117*Assumptions!$F$169))</f>
        <v>4.27242373653181</v>
      </c>
    </row>
    <row r="67" customFormat="false" ht="15" hidden="false" customHeight="false" outlineLevel="0" collapsed="false">
      <c r="A67" s="28" t="s">
        <v>879</v>
      </c>
      <c r="B67" s="63" t="s">
        <v>923</v>
      </c>
      <c r="C67" s="68" t="n">
        <f aca="false">P67</f>
        <v>14.697746407696</v>
      </c>
      <c r="D67" s="68" t="n">
        <f aca="false">AB67</f>
        <v>11.3931299640848</v>
      </c>
      <c r="E67" s="69" t="n">
        <f aca="false">IF(E$5="A",Inputs_Actuals!E50,History!$F$55*(1-Assumptions!$C$117*Assumptions!$F$169))</f>
        <v>16</v>
      </c>
      <c r="F67" s="69" t="n">
        <f aca="false">IF(F$5="A",Inputs_Actuals!F50,E67*(1-Assumptions!$C$117*Assumptions!$F$169))</f>
        <v>16</v>
      </c>
      <c r="G67" s="69" t="n">
        <f aca="false">IF(G$5="A",Inputs_Actuals!G50,F67*(1-Assumptions!$C$117*Assumptions!$F$169))</f>
        <v>16</v>
      </c>
      <c r="H67" s="69" t="n">
        <f aca="false">IF(H$5="A",Inputs_Actuals!H50,G67*(1-Assumptions!$C$117*Assumptions!$F$169))</f>
        <v>16</v>
      </c>
      <c r="I67" s="69" t="n">
        <f aca="false">IF(I$5="A",Inputs_Actuals!I50,H67*(1-Assumptions!$C$117*Assumptions!$F$169))</f>
        <v>16</v>
      </c>
      <c r="J67" s="69" t="n">
        <f aca="false">IF(J$5="A",Inputs_Actuals!J50,I67*(1-Assumptions!$C$117*Assumptions!$F$169))</f>
        <v>16</v>
      </c>
      <c r="K67" s="69" t="n">
        <f aca="false">IF(K$5="A",Inputs_Actuals!K50,J67*(1-Assumptions!$C$117*Assumptions!$F$169))</f>
        <v>16</v>
      </c>
      <c r="L67" s="69" t="n">
        <f aca="false">IF(L$5="A",Inputs_Actuals!L50,K67*(1-Assumptions!$C$117*Assumptions!$F$169))</f>
        <v>16</v>
      </c>
      <c r="M67" s="69" t="n">
        <f aca="false">IF(M$5="A",Inputs_Actuals!M50,L67*(1-Assumptions!$C$117*Assumptions!$F$169))</f>
        <v>15.664</v>
      </c>
      <c r="N67" s="69" t="n">
        <f aca="false">IF(N$5="A",Inputs_Actuals!N50,M67*(1-Assumptions!$C$117*Assumptions!$F$169))</f>
        <v>15.335056</v>
      </c>
      <c r="O67" s="69" t="n">
        <f aca="false">IF(O$5="A",Inputs_Actuals!O50,N67*(1-Assumptions!$C$117*Assumptions!$F$169))</f>
        <v>15.013019824</v>
      </c>
      <c r="P67" s="69" t="n">
        <f aca="false">IF(P$5="A",Inputs_Actuals!P50,O67*(1-Assumptions!$C$117*Assumptions!$F$169))</f>
        <v>14.697746407696</v>
      </c>
      <c r="Q67" s="69" t="n">
        <f aca="false">IF(Q$5="A",Inputs_Actuals!Q50,P67*(1-Assumptions!$C$117*Assumptions!$F$169))</f>
        <v>14.3890937331344</v>
      </c>
      <c r="R67" s="69" t="n">
        <f aca="false">IF(R$5="A",Inputs_Actuals!R50,Q67*(1-Assumptions!$C$117*Assumptions!$F$169))</f>
        <v>14.0869227647386</v>
      </c>
      <c r="S67" s="69" t="n">
        <f aca="false">IF(S$5="A",Inputs_Actuals!S50,R67*(1-Assumptions!$C$117*Assumptions!$F$169))</f>
        <v>13.7910973866791</v>
      </c>
      <c r="T67" s="69" t="n">
        <f aca="false">IF(T$5="A",Inputs_Actuals!T50,S67*(1-Assumptions!$C$117*Assumptions!$F$169))</f>
        <v>13.5014843415588</v>
      </c>
      <c r="U67" s="69" t="n">
        <f aca="false">IF(U$5="A",Inputs_Actuals!U50,T67*(1-Assumptions!$C$117*Assumptions!$F$169))</f>
        <v>13.2179531703861</v>
      </c>
      <c r="V67" s="69" t="n">
        <f aca="false">IF(V$5="A",Inputs_Actuals!V50,U67*(1-Assumptions!$C$117*Assumptions!$F$169))</f>
        <v>12.9403761538079</v>
      </c>
      <c r="W67" s="69" t="n">
        <f aca="false">IF(W$5="A",Inputs_Actuals!W50,V67*(1-Assumptions!$C$117*Assumptions!$F$169))</f>
        <v>12.668628254578</v>
      </c>
      <c r="X67" s="69" t="n">
        <f aca="false">IF(X$5="A",Inputs_Actuals!X50,W67*(1-Assumptions!$C$117*Assumptions!$F$169))</f>
        <v>12.4025870612318</v>
      </c>
      <c r="Y67" s="69" t="n">
        <f aca="false">IF(Y$5="A",Inputs_Actuals!Y50,X67*(1-Assumptions!$C$117*Assumptions!$F$169))</f>
        <v>12.142132732946</v>
      </c>
      <c r="Z67" s="69" t="n">
        <f aca="false">IF(Z$5="A",Inputs_Actuals!Z50,Y67*(1-Assumptions!$C$117*Assumptions!$F$169))</f>
        <v>11.8871479455541</v>
      </c>
      <c r="AA67" s="69" t="n">
        <f aca="false">IF(AA$5="A",Inputs_Actuals!AA50,Z67*(1-Assumptions!$C$117*Assumptions!$F$169))</f>
        <v>11.6375178386975</v>
      </c>
      <c r="AB67" s="69" t="n">
        <f aca="false">IF(AB$5="A",Inputs_Actuals!AB50,AA67*(1-Assumptions!$C$117*Assumptions!$F$169))</f>
        <v>11.3931299640848</v>
      </c>
    </row>
    <row r="68" customFormat="false" ht="15" hidden="false" customHeight="false" outlineLevel="0" collapsed="false">
      <c r="A68" s="28" t="s">
        <v>880</v>
      </c>
      <c r="B68" s="63" t="s">
        <v>923</v>
      </c>
      <c r="C68" s="68" t="n">
        <f aca="false">P68</f>
        <v>7.348873203848</v>
      </c>
      <c r="D68" s="68" t="n">
        <f aca="false">AB68</f>
        <v>5.69656498204241</v>
      </c>
      <c r="E68" s="69" t="n">
        <f aca="false">IF(E$5="A",Inputs_Actuals!E51,History!$F$56*(1-Assumptions!$C$117*Assumptions!$F$169))</f>
        <v>10</v>
      </c>
      <c r="F68" s="69" t="n">
        <f aca="false">IF(F$5="A",Inputs_Actuals!F51,E68*(1-Assumptions!$C$117*Assumptions!$F$169))</f>
        <v>10</v>
      </c>
      <c r="G68" s="69" t="n">
        <f aca="false">IF(G$5="A",Inputs_Actuals!G51,F68*(1-Assumptions!$C$117*Assumptions!$F$169))</f>
        <v>9</v>
      </c>
      <c r="H68" s="69" t="n">
        <f aca="false">IF(H$5="A",Inputs_Actuals!H51,G68*(1-Assumptions!$C$117*Assumptions!$F$169))</f>
        <v>9</v>
      </c>
      <c r="I68" s="69" t="n">
        <f aca="false">IF(I$5="A",Inputs_Actuals!I51,H68*(1-Assumptions!$C$117*Assumptions!$F$169))</f>
        <v>8</v>
      </c>
      <c r="J68" s="69" t="n">
        <f aca="false">IF(J$5="A",Inputs_Actuals!J51,I68*(1-Assumptions!$C$117*Assumptions!$F$169))</f>
        <v>8</v>
      </c>
      <c r="K68" s="69" t="n">
        <f aca="false">IF(K$5="A",Inputs_Actuals!K51,J68*(1-Assumptions!$C$117*Assumptions!$F$169))</f>
        <v>8</v>
      </c>
      <c r="L68" s="69" t="n">
        <f aca="false">IF(L$5="A",Inputs_Actuals!L51,K68*(1-Assumptions!$C$117*Assumptions!$F$169))</f>
        <v>8</v>
      </c>
      <c r="M68" s="69" t="n">
        <f aca="false">IF(M$5="A",Inputs_Actuals!M51,L68*(1-Assumptions!$C$117*Assumptions!$F$169))</f>
        <v>7.832</v>
      </c>
      <c r="N68" s="69" t="n">
        <f aca="false">IF(N$5="A",Inputs_Actuals!N51,M68*(1-Assumptions!$C$117*Assumptions!$F$169))</f>
        <v>7.667528</v>
      </c>
      <c r="O68" s="69" t="n">
        <f aca="false">IF(O$5="A",Inputs_Actuals!O51,N68*(1-Assumptions!$C$117*Assumptions!$F$169))</f>
        <v>7.506509912</v>
      </c>
      <c r="P68" s="69" t="n">
        <f aca="false">IF(P$5="A",Inputs_Actuals!P51,O68*(1-Assumptions!$C$117*Assumptions!$F$169))</f>
        <v>7.348873203848</v>
      </c>
      <c r="Q68" s="69" t="n">
        <f aca="false">IF(Q$5="A",Inputs_Actuals!Q51,P68*(1-Assumptions!$C$117*Assumptions!$F$169))</f>
        <v>7.19454686656719</v>
      </c>
      <c r="R68" s="69" t="n">
        <f aca="false">IF(R$5="A",Inputs_Actuals!R51,Q68*(1-Assumptions!$C$117*Assumptions!$F$169))</f>
        <v>7.04346138236928</v>
      </c>
      <c r="S68" s="69" t="n">
        <f aca="false">IF(S$5="A",Inputs_Actuals!S51,R68*(1-Assumptions!$C$117*Assumptions!$F$169))</f>
        <v>6.89554869333953</v>
      </c>
      <c r="T68" s="69" t="n">
        <f aca="false">IF(T$5="A",Inputs_Actuals!T51,S68*(1-Assumptions!$C$117*Assumptions!$F$169))</f>
        <v>6.7507421707794</v>
      </c>
      <c r="U68" s="69" t="n">
        <f aca="false">IF(U$5="A",Inputs_Actuals!U51,T68*(1-Assumptions!$C$117*Assumptions!$F$169))</f>
        <v>6.60897658519303</v>
      </c>
      <c r="V68" s="69" t="n">
        <f aca="false">IF(V$5="A",Inputs_Actuals!V51,U68*(1-Assumptions!$C$117*Assumptions!$F$169))</f>
        <v>6.47018807690397</v>
      </c>
      <c r="W68" s="69" t="n">
        <f aca="false">IF(W$5="A",Inputs_Actuals!W51,V68*(1-Assumptions!$C$117*Assumptions!$F$169))</f>
        <v>6.33431412728899</v>
      </c>
      <c r="X68" s="69" t="n">
        <f aca="false">IF(X$5="A",Inputs_Actuals!X51,W68*(1-Assumptions!$C$117*Assumptions!$F$169))</f>
        <v>6.20129353061592</v>
      </c>
      <c r="Y68" s="69" t="n">
        <f aca="false">IF(Y$5="A",Inputs_Actuals!Y51,X68*(1-Assumptions!$C$117*Assumptions!$F$169))</f>
        <v>6.07106636647299</v>
      </c>
      <c r="Z68" s="69" t="n">
        <f aca="false">IF(Z$5="A",Inputs_Actuals!Z51,Y68*(1-Assumptions!$C$117*Assumptions!$F$169))</f>
        <v>5.94357397277705</v>
      </c>
      <c r="AA68" s="69" t="n">
        <f aca="false">IF(AA$5="A",Inputs_Actuals!AA51,Z68*(1-Assumptions!$C$117*Assumptions!$F$169))</f>
        <v>5.81875891934874</v>
      </c>
      <c r="AB68" s="69" t="n">
        <f aca="false">IF(AB$5="A",Inputs_Actuals!AB51,AA68*(1-Assumptions!$C$117*Assumptions!$F$169))</f>
        <v>5.69656498204241</v>
      </c>
    </row>
    <row r="69" customFormat="false" ht="15" hidden="false" customHeight="false" outlineLevel="0" collapsed="false">
      <c r="A69" s="28" t="s">
        <v>881</v>
      </c>
      <c r="B69" s="63" t="s">
        <v>923</v>
      </c>
      <c r="C69" s="68" t="n">
        <f aca="false">P69</f>
        <v>11.941918956253</v>
      </c>
      <c r="D69" s="68" t="n">
        <f aca="false">AB69</f>
        <v>9.25691809581892</v>
      </c>
      <c r="E69" s="69" t="n">
        <f aca="false">IF(E$5="A",Inputs_Actuals!E52,History!$F$57*(1-Assumptions!$C$117*Assumptions!$F$169))</f>
        <v>17</v>
      </c>
      <c r="F69" s="69" t="n">
        <f aca="false">IF(F$5="A",Inputs_Actuals!F52,E69*(1-Assumptions!$C$117*Assumptions!$F$169))</f>
        <v>17</v>
      </c>
      <c r="G69" s="69" t="n">
        <f aca="false">IF(G$5="A",Inputs_Actuals!G52,F69*(1-Assumptions!$C$117*Assumptions!$F$169))</f>
        <v>16</v>
      </c>
      <c r="H69" s="69" t="n">
        <f aca="false">IF(H$5="A",Inputs_Actuals!H52,G69*(1-Assumptions!$C$117*Assumptions!$F$169))</f>
        <v>16</v>
      </c>
      <c r="I69" s="69" t="n">
        <f aca="false">IF(I$5="A",Inputs_Actuals!I52,H69*(1-Assumptions!$C$117*Assumptions!$F$169))</f>
        <v>16</v>
      </c>
      <c r="J69" s="69" t="n">
        <f aca="false">IF(J$5="A",Inputs_Actuals!J52,I69*(1-Assumptions!$C$117*Assumptions!$F$169))</f>
        <v>14</v>
      </c>
      <c r="K69" s="69" t="n">
        <f aca="false">IF(K$5="A",Inputs_Actuals!K52,J69*(1-Assumptions!$C$117*Assumptions!$F$169))</f>
        <v>14</v>
      </c>
      <c r="L69" s="69" t="n">
        <f aca="false">IF(L$5="A",Inputs_Actuals!L52,K69*(1-Assumptions!$C$117*Assumptions!$F$169))</f>
        <v>13</v>
      </c>
      <c r="M69" s="69" t="n">
        <f aca="false">IF(M$5="A",Inputs_Actuals!M52,L69*(1-Assumptions!$C$117*Assumptions!$F$169))</f>
        <v>12.727</v>
      </c>
      <c r="N69" s="69" t="n">
        <f aca="false">IF(N$5="A",Inputs_Actuals!N52,M69*(1-Assumptions!$C$117*Assumptions!$F$169))</f>
        <v>12.459733</v>
      </c>
      <c r="O69" s="69" t="n">
        <f aca="false">IF(O$5="A",Inputs_Actuals!O52,N69*(1-Assumptions!$C$117*Assumptions!$F$169))</f>
        <v>12.198078607</v>
      </c>
      <c r="P69" s="69" t="n">
        <f aca="false">IF(P$5="A",Inputs_Actuals!P52,O69*(1-Assumptions!$C$117*Assumptions!$F$169))</f>
        <v>11.941918956253</v>
      </c>
      <c r="Q69" s="69" t="n">
        <f aca="false">IF(Q$5="A",Inputs_Actuals!Q52,P69*(1-Assumptions!$C$117*Assumptions!$F$169))</f>
        <v>11.6911386581717</v>
      </c>
      <c r="R69" s="69" t="n">
        <f aca="false">IF(R$5="A",Inputs_Actuals!R52,Q69*(1-Assumptions!$C$117*Assumptions!$F$169))</f>
        <v>11.4456247463501</v>
      </c>
      <c r="S69" s="69" t="n">
        <f aca="false">IF(S$5="A",Inputs_Actuals!S52,R69*(1-Assumptions!$C$117*Assumptions!$F$169))</f>
        <v>11.2052666266767</v>
      </c>
      <c r="T69" s="69" t="n">
        <f aca="false">IF(T$5="A",Inputs_Actuals!T52,S69*(1-Assumptions!$C$117*Assumptions!$F$169))</f>
        <v>10.9699560275165</v>
      </c>
      <c r="U69" s="69" t="n">
        <f aca="false">IF(U$5="A",Inputs_Actuals!U52,T69*(1-Assumptions!$C$117*Assumptions!$F$169))</f>
        <v>10.7395869509387</v>
      </c>
      <c r="V69" s="69" t="n">
        <f aca="false">IF(V$5="A",Inputs_Actuals!V52,U69*(1-Assumptions!$C$117*Assumptions!$F$169))</f>
        <v>10.514055624969</v>
      </c>
      <c r="W69" s="69" t="n">
        <f aca="false">IF(W$5="A",Inputs_Actuals!W52,V69*(1-Assumptions!$C$117*Assumptions!$F$169))</f>
        <v>10.2932604568446</v>
      </c>
      <c r="X69" s="69" t="n">
        <f aca="false">IF(X$5="A",Inputs_Actuals!X52,W69*(1-Assumptions!$C$117*Assumptions!$F$169))</f>
        <v>10.0771019872509</v>
      </c>
      <c r="Y69" s="69" t="n">
        <f aca="false">IF(Y$5="A",Inputs_Actuals!Y52,X69*(1-Assumptions!$C$117*Assumptions!$F$169))</f>
        <v>9.8654828455186</v>
      </c>
      <c r="Z69" s="69" t="n">
        <f aca="false">IF(Z$5="A",Inputs_Actuals!Z52,Y69*(1-Assumptions!$C$117*Assumptions!$F$169))</f>
        <v>9.65830770576271</v>
      </c>
      <c r="AA69" s="69" t="n">
        <f aca="false">IF(AA$5="A",Inputs_Actuals!AA52,Z69*(1-Assumptions!$C$117*Assumptions!$F$169))</f>
        <v>9.45548324394169</v>
      </c>
      <c r="AB69" s="69" t="n">
        <f aca="false">IF(AB$5="A",Inputs_Actuals!AB52,AA69*(1-Assumptions!$C$117*Assumptions!$F$169))</f>
        <v>9.25691809581892</v>
      </c>
    </row>
    <row r="70" customFormat="false" ht="15" hidden="false" customHeight="false" outlineLevel="0" collapsed="false">
      <c r="A70" s="28" t="s">
        <v>882</v>
      </c>
      <c r="B70" s="63" t="s">
        <v>923</v>
      </c>
      <c r="C70" s="68" t="n">
        <f aca="false">P70</f>
        <v>12.860528106734</v>
      </c>
      <c r="D70" s="68" t="n">
        <f aca="false">AB70</f>
        <v>9.96898871857422</v>
      </c>
      <c r="E70" s="69" t="n">
        <f aca="false">IF(E$5="A",Inputs_Actuals!E53,History!$F$58*(1-Assumptions!$C$117*Assumptions!$F$169))</f>
        <v>18</v>
      </c>
      <c r="F70" s="69" t="n">
        <f aca="false">IF(F$5="A",Inputs_Actuals!F53,E70*(1-Assumptions!$C$117*Assumptions!$F$169))</f>
        <v>17</v>
      </c>
      <c r="G70" s="69" t="n">
        <f aca="false">IF(G$5="A",Inputs_Actuals!G53,F70*(1-Assumptions!$C$117*Assumptions!$F$169))</f>
        <v>16</v>
      </c>
      <c r="H70" s="69" t="n">
        <f aca="false">IF(H$5="A",Inputs_Actuals!H53,G70*(1-Assumptions!$C$117*Assumptions!$F$169))</f>
        <v>16</v>
      </c>
      <c r="I70" s="69" t="n">
        <f aca="false">IF(I$5="A",Inputs_Actuals!I53,H70*(1-Assumptions!$C$117*Assumptions!$F$169))</f>
        <v>15</v>
      </c>
      <c r="J70" s="69" t="n">
        <f aca="false">IF(J$5="A",Inputs_Actuals!J53,I70*(1-Assumptions!$C$117*Assumptions!$F$169))</f>
        <v>15</v>
      </c>
      <c r="K70" s="69" t="n">
        <f aca="false">IF(K$5="A",Inputs_Actuals!K53,J70*(1-Assumptions!$C$117*Assumptions!$F$169))</f>
        <v>15</v>
      </c>
      <c r="L70" s="69" t="n">
        <f aca="false">IF(L$5="A",Inputs_Actuals!L53,K70*(1-Assumptions!$C$117*Assumptions!$F$169))</f>
        <v>14</v>
      </c>
      <c r="M70" s="69" t="n">
        <f aca="false">IF(M$5="A",Inputs_Actuals!M53,L70*(1-Assumptions!$C$117*Assumptions!$F$169))</f>
        <v>13.706</v>
      </c>
      <c r="N70" s="69" t="n">
        <f aca="false">IF(N$5="A",Inputs_Actuals!N53,M70*(1-Assumptions!$C$117*Assumptions!$F$169))</f>
        <v>13.418174</v>
      </c>
      <c r="O70" s="69" t="n">
        <f aca="false">IF(O$5="A",Inputs_Actuals!O53,N70*(1-Assumptions!$C$117*Assumptions!$F$169))</f>
        <v>13.136392346</v>
      </c>
      <c r="P70" s="69" t="n">
        <f aca="false">IF(P$5="A",Inputs_Actuals!P53,O70*(1-Assumptions!$C$117*Assumptions!$F$169))</f>
        <v>12.860528106734</v>
      </c>
      <c r="Q70" s="69" t="n">
        <f aca="false">IF(Q$5="A",Inputs_Actuals!Q53,P70*(1-Assumptions!$C$117*Assumptions!$F$169))</f>
        <v>12.5904570164926</v>
      </c>
      <c r="R70" s="69" t="n">
        <f aca="false">IF(R$5="A",Inputs_Actuals!R53,Q70*(1-Assumptions!$C$117*Assumptions!$F$169))</f>
        <v>12.3260574191462</v>
      </c>
      <c r="S70" s="69" t="n">
        <f aca="false">IF(S$5="A",Inputs_Actuals!S53,R70*(1-Assumptions!$C$117*Assumptions!$F$169))</f>
        <v>12.0672102133442</v>
      </c>
      <c r="T70" s="69" t="n">
        <f aca="false">IF(T$5="A",Inputs_Actuals!T53,S70*(1-Assumptions!$C$117*Assumptions!$F$169))</f>
        <v>11.8137987988639</v>
      </c>
      <c r="U70" s="69" t="n">
        <f aca="false">IF(U$5="A",Inputs_Actuals!U53,T70*(1-Assumptions!$C$117*Assumptions!$F$169))</f>
        <v>11.5657090240878</v>
      </c>
      <c r="V70" s="69" t="n">
        <f aca="false">IF(V$5="A",Inputs_Actuals!V53,U70*(1-Assumptions!$C$117*Assumptions!$F$169))</f>
        <v>11.322829134582</v>
      </c>
      <c r="W70" s="69" t="n">
        <f aca="false">IF(W$5="A",Inputs_Actuals!W53,V70*(1-Assumptions!$C$117*Assumptions!$F$169))</f>
        <v>11.0850497227557</v>
      </c>
      <c r="X70" s="69" t="n">
        <f aca="false">IF(X$5="A",Inputs_Actuals!X53,W70*(1-Assumptions!$C$117*Assumptions!$F$169))</f>
        <v>10.8522636785779</v>
      </c>
      <c r="Y70" s="69" t="n">
        <f aca="false">IF(Y$5="A",Inputs_Actuals!Y53,X70*(1-Assumptions!$C$117*Assumptions!$F$169))</f>
        <v>10.6243661413277</v>
      </c>
      <c r="Z70" s="69" t="n">
        <f aca="false">IF(Z$5="A",Inputs_Actuals!Z53,Y70*(1-Assumptions!$C$117*Assumptions!$F$169))</f>
        <v>10.4012544523598</v>
      </c>
      <c r="AA70" s="69" t="n">
        <f aca="false">IF(AA$5="A",Inputs_Actuals!AA53,Z70*(1-Assumptions!$C$117*Assumptions!$F$169))</f>
        <v>10.1828281088603</v>
      </c>
      <c r="AB70" s="69" t="n">
        <f aca="false">IF(AB$5="A",Inputs_Actuals!AB53,AA70*(1-Assumptions!$C$117*Assumptions!$F$169))</f>
        <v>9.96898871857422</v>
      </c>
    </row>
    <row r="71" customFormat="false" ht="15" hidden="false" customHeight="false" outlineLevel="0" collapsed="false">
      <c r="A71" s="28" t="s">
        <v>883</v>
      </c>
      <c r="B71" s="63" t="s">
        <v>923</v>
      </c>
      <c r="C71" s="68" t="n">
        <f aca="false">P71</f>
        <v>11.023309805772</v>
      </c>
      <c r="D71" s="68" t="n">
        <f aca="false">AB71</f>
        <v>8.54484747306362</v>
      </c>
      <c r="E71" s="69" t="n">
        <f aca="false">IF(E$5="A",Inputs_Actuals!E54,History!$F$59*(1-Assumptions!$C$117*Assumptions!$F$169))</f>
        <v>14</v>
      </c>
      <c r="F71" s="69" t="n">
        <f aca="false">IF(F$5="A",Inputs_Actuals!F54,E71*(1-Assumptions!$C$117*Assumptions!$F$169))</f>
        <v>13</v>
      </c>
      <c r="G71" s="69" t="n">
        <f aca="false">IF(G$5="A",Inputs_Actuals!G54,F71*(1-Assumptions!$C$117*Assumptions!$F$169))</f>
        <v>12</v>
      </c>
      <c r="H71" s="69" t="n">
        <f aca="false">IF(H$5="A",Inputs_Actuals!H54,G71*(1-Assumptions!$C$117*Assumptions!$F$169))</f>
        <v>12</v>
      </c>
      <c r="I71" s="69" t="n">
        <f aca="false">IF(I$5="A",Inputs_Actuals!I54,H71*(1-Assumptions!$C$117*Assumptions!$F$169))</f>
        <v>12</v>
      </c>
      <c r="J71" s="69" t="n">
        <f aca="false">IF(J$5="A",Inputs_Actuals!J54,I71*(1-Assumptions!$C$117*Assumptions!$F$169))</f>
        <v>12</v>
      </c>
      <c r="K71" s="69" t="n">
        <f aca="false">IF(K$5="A",Inputs_Actuals!K54,J71*(1-Assumptions!$C$117*Assumptions!$F$169))</f>
        <v>12</v>
      </c>
      <c r="L71" s="69" t="n">
        <f aca="false">IF(L$5="A",Inputs_Actuals!L54,K71*(1-Assumptions!$C$117*Assumptions!$F$169))</f>
        <v>12</v>
      </c>
      <c r="M71" s="69" t="n">
        <f aca="false">IF(M$5="A",Inputs_Actuals!M54,L71*(1-Assumptions!$C$117*Assumptions!$F$169))</f>
        <v>11.748</v>
      </c>
      <c r="N71" s="69" t="n">
        <f aca="false">IF(N$5="A",Inputs_Actuals!N54,M71*(1-Assumptions!$C$117*Assumptions!$F$169))</f>
        <v>11.501292</v>
      </c>
      <c r="O71" s="69" t="n">
        <f aca="false">IF(O$5="A",Inputs_Actuals!O54,N71*(1-Assumptions!$C$117*Assumptions!$F$169))</f>
        <v>11.259764868</v>
      </c>
      <c r="P71" s="69" t="n">
        <f aca="false">IF(P$5="A",Inputs_Actuals!P54,O71*(1-Assumptions!$C$117*Assumptions!$F$169))</f>
        <v>11.023309805772</v>
      </c>
      <c r="Q71" s="69" t="n">
        <f aca="false">IF(Q$5="A",Inputs_Actuals!Q54,P71*(1-Assumptions!$C$117*Assumptions!$F$169))</f>
        <v>10.7918202998508</v>
      </c>
      <c r="R71" s="69" t="n">
        <f aca="false">IF(R$5="A",Inputs_Actuals!R54,Q71*(1-Assumptions!$C$117*Assumptions!$F$169))</f>
        <v>10.5651920735539</v>
      </c>
      <c r="S71" s="69" t="n">
        <f aca="false">IF(S$5="A",Inputs_Actuals!S54,R71*(1-Assumptions!$C$117*Assumptions!$F$169))</f>
        <v>10.3433230400093</v>
      </c>
      <c r="T71" s="69" t="n">
        <f aca="false">IF(T$5="A",Inputs_Actuals!T54,S71*(1-Assumptions!$C$117*Assumptions!$F$169))</f>
        <v>10.1261132561691</v>
      </c>
      <c r="U71" s="69" t="n">
        <f aca="false">IF(U$5="A",Inputs_Actuals!U54,T71*(1-Assumptions!$C$117*Assumptions!$F$169))</f>
        <v>9.91346487778954</v>
      </c>
      <c r="V71" s="69" t="n">
        <f aca="false">IF(V$5="A",Inputs_Actuals!V54,U71*(1-Assumptions!$C$117*Assumptions!$F$169))</f>
        <v>9.70528211535596</v>
      </c>
      <c r="W71" s="69" t="n">
        <f aca="false">IF(W$5="A",Inputs_Actuals!W54,V71*(1-Assumptions!$C$117*Assumptions!$F$169))</f>
        <v>9.50147119093349</v>
      </c>
      <c r="X71" s="69" t="n">
        <f aca="false">IF(X$5="A",Inputs_Actuals!X54,W71*(1-Assumptions!$C$117*Assumptions!$F$169))</f>
        <v>9.30194029592388</v>
      </c>
      <c r="Y71" s="69" t="n">
        <f aca="false">IF(Y$5="A",Inputs_Actuals!Y54,X71*(1-Assumptions!$C$117*Assumptions!$F$169))</f>
        <v>9.10659954970948</v>
      </c>
      <c r="Z71" s="69" t="n">
        <f aca="false">IF(Z$5="A",Inputs_Actuals!Z54,Y71*(1-Assumptions!$C$117*Assumptions!$F$169))</f>
        <v>8.91536095916558</v>
      </c>
      <c r="AA71" s="69" t="n">
        <f aca="false">IF(AA$5="A",Inputs_Actuals!AA54,Z71*(1-Assumptions!$C$117*Assumptions!$F$169))</f>
        <v>8.7281383790231</v>
      </c>
      <c r="AB71" s="69" t="n">
        <f aca="false">IF(AB$5="A",Inputs_Actuals!AB54,AA71*(1-Assumptions!$C$117*Assumptions!$F$169))</f>
        <v>8.54484747306362</v>
      </c>
    </row>
    <row r="72" customFormat="false" ht="15" hidden="false" customHeight="false" outlineLevel="0" collapsed="false">
      <c r="A72" s="28" t="s">
        <v>884</v>
      </c>
      <c r="B72" s="63" t="s">
        <v>923</v>
      </c>
      <c r="C72" s="68" t="n">
        <f aca="false">P72</f>
        <v>7.348873203848</v>
      </c>
      <c r="D72" s="68" t="n">
        <f aca="false">AB72</f>
        <v>5.69656498204241</v>
      </c>
      <c r="E72" s="69" t="n">
        <f aca="false">IF(E$5="A",Inputs_Actuals!E55,History!$F$60*(1-Assumptions!$C$117*Assumptions!$F$169))</f>
        <v>10</v>
      </c>
      <c r="F72" s="69" t="n">
        <f aca="false">IF(F$5="A",Inputs_Actuals!F55,E72*(1-Assumptions!$C$117*Assumptions!$F$169))</f>
        <v>10</v>
      </c>
      <c r="G72" s="69" t="n">
        <f aca="false">IF(G$5="A",Inputs_Actuals!G55,F72*(1-Assumptions!$C$117*Assumptions!$F$169))</f>
        <v>10</v>
      </c>
      <c r="H72" s="69" t="n">
        <f aca="false">IF(H$5="A",Inputs_Actuals!H55,G72*(1-Assumptions!$C$117*Assumptions!$F$169))</f>
        <v>9</v>
      </c>
      <c r="I72" s="69" t="n">
        <f aca="false">IF(I$5="A",Inputs_Actuals!I55,H72*(1-Assumptions!$C$117*Assumptions!$F$169))</f>
        <v>9</v>
      </c>
      <c r="J72" s="69" t="n">
        <f aca="false">IF(J$5="A",Inputs_Actuals!J55,I72*(1-Assumptions!$C$117*Assumptions!$F$169))</f>
        <v>8</v>
      </c>
      <c r="K72" s="69" t="n">
        <f aca="false">IF(K$5="A",Inputs_Actuals!K55,J72*(1-Assumptions!$C$117*Assumptions!$F$169))</f>
        <v>8</v>
      </c>
      <c r="L72" s="69" t="n">
        <f aca="false">IF(L$5="A",Inputs_Actuals!L55,K72*(1-Assumptions!$C$117*Assumptions!$F$169))</f>
        <v>8</v>
      </c>
      <c r="M72" s="69" t="n">
        <f aca="false">IF(M$5="A",Inputs_Actuals!M55,L72*(1-Assumptions!$C$117*Assumptions!$F$169))</f>
        <v>7.832</v>
      </c>
      <c r="N72" s="69" t="n">
        <f aca="false">IF(N$5="A",Inputs_Actuals!N55,M72*(1-Assumptions!$C$117*Assumptions!$F$169))</f>
        <v>7.667528</v>
      </c>
      <c r="O72" s="69" t="n">
        <f aca="false">IF(O$5="A",Inputs_Actuals!O55,N72*(1-Assumptions!$C$117*Assumptions!$F$169))</f>
        <v>7.506509912</v>
      </c>
      <c r="P72" s="69" t="n">
        <f aca="false">IF(P$5="A",Inputs_Actuals!P55,O72*(1-Assumptions!$C$117*Assumptions!$F$169))</f>
        <v>7.348873203848</v>
      </c>
      <c r="Q72" s="69" t="n">
        <f aca="false">IF(Q$5="A",Inputs_Actuals!Q55,P72*(1-Assumptions!$C$117*Assumptions!$F$169))</f>
        <v>7.19454686656719</v>
      </c>
      <c r="R72" s="69" t="n">
        <f aca="false">IF(R$5="A",Inputs_Actuals!R55,Q72*(1-Assumptions!$C$117*Assumptions!$F$169))</f>
        <v>7.04346138236928</v>
      </c>
      <c r="S72" s="69" t="n">
        <f aca="false">IF(S$5="A",Inputs_Actuals!S55,R72*(1-Assumptions!$C$117*Assumptions!$F$169))</f>
        <v>6.89554869333953</v>
      </c>
      <c r="T72" s="69" t="n">
        <f aca="false">IF(T$5="A",Inputs_Actuals!T55,S72*(1-Assumptions!$C$117*Assumptions!$F$169))</f>
        <v>6.7507421707794</v>
      </c>
      <c r="U72" s="69" t="n">
        <f aca="false">IF(U$5="A",Inputs_Actuals!U55,T72*(1-Assumptions!$C$117*Assumptions!$F$169))</f>
        <v>6.60897658519303</v>
      </c>
      <c r="V72" s="69" t="n">
        <f aca="false">IF(V$5="A",Inputs_Actuals!V55,U72*(1-Assumptions!$C$117*Assumptions!$F$169))</f>
        <v>6.47018807690397</v>
      </c>
      <c r="W72" s="69" t="n">
        <f aca="false">IF(W$5="A",Inputs_Actuals!W55,V72*(1-Assumptions!$C$117*Assumptions!$F$169))</f>
        <v>6.33431412728899</v>
      </c>
      <c r="X72" s="69" t="n">
        <f aca="false">IF(X$5="A",Inputs_Actuals!X55,W72*(1-Assumptions!$C$117*Assumptions!$F$169))</f>
        <v>6.20129353061592</v>
      </c>
      <c r="Y72" s="69" t="n">
        <f aca="false">IF(Y$5="A",Inputs_Actuals!Y55,X72*(1-Assumptions!$C$117*Assumptions!$F$169))</f>
        <v>6.07106636647299</v>
      </c>
      <c r="Z72" s="69" t="n">
        <f aca="false">IF(Z$5="A",Inputs_Actuals!Z55,Y72*(1-Assumptions!$C$117*Assumptions!$F$169))</f>
        <v>5.94357397277705</v>
      </c>
      <c r="AA72" s="69" t="n">
        <f aca="false">IF(AA$5="A",Inputs_Actuals!AA55,Z72*(1-Assumptions!$C$117*Assumptions!$F$169))</f>
        <v>5.81875891934874</v>
      </c>
      <c r="AB72" s="69" t="n">
        <f aca="false">IF(AB$5="A",Inputs_Actuals!AB55,AA72*(1-Assumptions!$C$117*Assumptions!$F$169))</f>
        <v>5.69656498204241</v>
      </c>
    </row>
    <row r="73" customFormat="false" ht="15" hidden="false" customHeight="false" outlineLevel="0" collapsed="false">
      <c r="A73" s="28" t="s">
        <v>885</v>
      </c>
      <c r="B73" s="63" t="s">
        <v>923</v>
      </c>
      <c r="C73" s="68" t="n">
        <f aca="false">P73</f>
        <v>22.046619611544</v>
      </c>
      <c r="D73" s="68" t="n">
        <f aca="false">AB73</f>
        <v>17.0896949461272</v>
      </c>
      <c r="E73" s="69" t="n">
        <f aca="false">IF(E$5="A",Inputs_Actuals!E56,History!$F$61*(1-Assumptions!$C$115*Assumptions!$F$169))</f>
        <v>25</v>
      </c>
      <c r="F73" s="69" t="n">
        <f aca="false">IF(F$5="A",Inputs_Actuals!F56,E73*(1-Assumptions!$C$117*Assumptions!$F$169))</f>
        <v>25</v>
      </c>
      <c r="G73" s="69" t="n">
        <f aca="false">IF(G$5="A",Inputs_Actuals!G56,F73*(1-Assumptions!$C$117*Assumptions!$F$169))</f>
        <v>25</v>
      </c>
      <c r="H73" s="69" t="n">
        <f aca="false">IF(H$5="A",Inputs_Actuals!H56,G73*(1-Assumptions!$C$117*Assumptions!$F$169))</f>
        <v>25</v>
      </c>
      <c r="I73" s="69" t="n">
        <f aca="false">IF(I$5="A",Inputs_Actuals!I56,H73*(1-Assumptions!$C$117*Assumptions!$F$169))</f>
        <v>25</v>
      </c>
      <c r="J73" s="69" t="n">
        <f aca="false">IF(J$5="A",Inputs_Actuals!J56,I73*(1-Assumptions!$C$117*Assumptions!$F$169))</f>
        <v>25</v>
      </c>
      <c r="K73" s="69" t="n">
        <f aca="false">IF(K$5="A",Inputs_Actuals!K56,J73*(1-Assumptions!$C$117*Assumptions!$F$169))</f>
        <v>24</v>
      </c>
      <c r="L73" s="69" t="n">
        <f aca="false">IF(L$5="A",Inputs_Actuals!L56,K73*(1-Assumptions!$C$117*Assumptions!$F$169))</f>
        <v>24</v>
      </c>
      <c r="M73" s="69" t="n">
        <f aca="false">IF(M$5="A",Inputs_Actuals!M56,L73*(1-Assumptions!$C$117*Assumptions!$F$169))</f>
        <v>23.496</v>
      </c>
      <c r="N73" s="69" t="n">
        <f aca="false">IF(N$5="A",Inputs_Actuals!N56,M73*(1-Assumptions!$C$117*Assumptions!$F$169))</f>
        <v>23.002584</v>
      </c>
      <c r="O73" s="69" t="n">
        <f aca="false">IF(O$5="A",Inputs_Actuals!O56,N73*(1-Assumptions!$C$117*Assumptions!$F$169))</f>
        <v>22.519529736</v>
      </c>
      <c r="P73" s="69" t="n">
        <f aca="false">IF(P$5="A",Inputs_Actuals!P56,O73*(1-Assumptions!$C$117*Assumptions!$F$169))</f>
        <v>22.046619611544</v>
      </c>
      <c r="Q73" s="69" t="n">
        <f aca="false">IF(Q$5="A",Inputs_Actuals!Q56,P73*(1-Assumptions!$C$117*Assumptions!$F$169))</f>
        <v>21.5836405997016</v>
      </c>
      <c r="R73" s="69" t="n">
        <f aca="false">IF(R$5="A",Inputs_Actuals!R56,Q73*(1-Assumptions!$C$117*Assumptions!$F$169))</f>
        <v>21.1303841471078</v>
      </c>
      <c r="S73" s="69" t="n">
        <f aca="false">IF(S$5="A",Inputs_Actuals!S56,R73*(1-Assumptions!$C$117*Assumptions!$F$169))</f>
        <v>20.6866460800186</v>
      </c>
      <c r="T73" s="69" t="n">
        <f aca="false">IF(T$5="A",Inputs_Actuals!T56,S73*(1-Assumptions!$C$117*Assumptions!$F$169))</f>
        <v>20.2522265123382</v>
      </c>
      <c r="U73" s="69" t="n">
        <f aca="false">IF(U$5="A",Inputs_Actuals!U56,T73*(1-Assumptions!$C$117*Assumptions!$F$169))</f>
        <v>19.8269297555791</v>
      </c>
      <c r="V73" s="69" t="n">
        <f aca="false">IF(V$5="A",Inputs_Actuals!V56,U73*(1-Assumptions!$C$117*Assumptions!$F$169))</f>
        <v>19.4105642307119</v>
      </c>
      <c r="W73" s="69" t="n">
        <f aca="false">IF(W$5="A",Inputs_Actuals!W56,V73*(1-Assumptions!$C$117*Assumptions!$F$169))</f>
        <v>19.002942381867</v>
      </c>
      <c r="X73" s="69" t="n">
        <f aca="false">IF(X$5="A",Inputs_Actuals!X56,W73*(1-Assumptions!$C$117*Assumptions!$F$169))</f>
        <v>18.6038805918478</v>
      </c>
      <c r="Y73" s="69" t="n">
        <f aca="false">IF(Y$5="A",Inputs_Actuals!Y56,X73*(1-Assumptions!$C$117*Assumptions!$F$169))</f>
        <v>18.213199099419</v>
      </c>
      <c r="Z73" s="69" t="n">
        <f aca="false">IF(Z$5="A",Inputs_Actuals!Z56,Y73*(1-Assumptions!$C$117*Assumptions!$F$169))</f>
        <v>17.8307219183312</v>
      </c>
      <c r="AA73" s="69" t="n">
        <f aca="false">IF(AA$5="A",Inputs_Actuals!AA56,Z73*(1-Assumptions!$C$117*Assumptions!$F$169))</f>
        <v>17.4562767580462</v>
      </c>
      <c r="AB73" s="69" t="n">
        <f aca="false">IF(AB$5="A",Inputs_Actuals!AB56,AA73*(1-Assumptions!$C$117*Assumptions!$F$169))</f>
        <v>17.0896949461272</v>
      </c>
    </row>
    <row r="74" customFormat="false" ht="15" hidden="false" customHeight="false" outlineLevel="0" collapsed="false">
      <c r="A74" s="28" t="s">
        <v>886</v>
      </c>
      <c r="B74" s="63" t="s">
        <v>923</v>
      </c>
      <c r="C74" s="68" t="n">
        <f aca="false">P74</f>
        <v>32.151320266835</v>
      </c>
      <c r="D74" s="68" t="n">
        <f aca="false">AB74</f>
        <v>24.9224717964356</v>
      </c>
      <c r="E74" s="69" t="n">
        <f aca="false">IF(E$5="A",Inputs_Actuals!E57,History!$F$62*(1-Assumptions!$C$115*Assumptions!$F$169))</f>
        <v>41</v>
      </c>
      <c r="F74" s="69" t="n">
        <f aca="false">IF(F$5="A",Inputs_Actuals!F57,E74*(1-Assumptions!$C$115*Assumptions!$F$169))</f>
        <v>41</v>
      </c>
      <c r="G74" s="69" t="n">
        <f aca="false">IF(G$5="A",Inputs_Actuals!G57,F74*(1-Assumptions!$C$117*Assumptions!$F$169))</f>
        <v>39</v>
      </c>
      <c r="H74" s="69" t="n">
        <f aca="false">IF(H$5="A",Inputs_Actuals!H57,G74*(1-Assumptions!$C$117*Assumptions!$F$169))</f>
        <v>38</v>
      </c>
      <c r="I74" s="69" t="n">
        <f aca="false">IF(I$5="A",Inputs_Actuals!I57,H74*(1-Assumptions!$C$117*Assumptions!$F$169))</f>
        <v>37</v>
      </c>
      <c r="J74" s="69" t="n">
        <f aca="false">IF(J$5="A",Inputs_Actuals!J57,I74*(1-Assumptions!$C$117*Assumptions!$F$169))</f>
        <v>35</v>
      </c>
      <c r="K74" s="69" t="n">
        <f aca="false">IF(K$5="A",Inputs_Actuals!K57,J74*(1-Assumptions!$C$117*Assumptions!$F$169))</f>
        <v>35</v>
      </c>
      <c r="L74" s="69" t="n">
        <f aca="false">IF(L$5="A",Inputs_Actuals!L57,K74*(1-Assumptions!$C$117*Assumptions!$F$169))</f>
        <v>35</v>
      </c>
      <c r="M74" s="69" t="n">
        <f aca="false">IF(M$5="A",Inputs_Actuals!M57,L74*(1-Assumptions!$C$117*Assumptions!$F$169))</f>
        <v>34.265</v>
      </c>
      <c r="N74" s="69" t="n">
        <f aca="false">IF(N$5="A",Inputs_Actuals!N57,M74*(1-Assumptions!$C$117*Assumptions!$F$169))</f>
        <v>33.545435</v>
      </c>
      <c r="O74" s="69" t="n">
        <f aca="false">IF(O$5="A",Inputs_Actuals!O57,N74*(1-Assumptions!$C$117*Assumptions!$F$169))</f>
        <v>32.840980865</v>
      </c>
      <c r="P74" s="69" t="n">
        <f aca="false">IF(P$5="A",Inputs_Actuals!P57,O74*(1-Assumptions!$C$117*Assumptions!$F$169))</f>
        <v>32.151320266835</v>
      </c>
      <c r="Q74" s="69" t="n">
        <f aca="false">IF(Q$5="A",Inputs_Actuals!Q57,P74*(1-Assumptions!$C$117*Assumptions!$F$169))</f>
        <v>31.4761425412315</v>
      </c>
      <c r="R74" s="69" t="n">
        <f aca="false">IF(R$5="A",Inputs_Actuals!R57,Q74*(1-Assumptions!$C$117*Assumptions!$F$169))</f>
        <v>30.8151435478656</v>
      </c>
      <c r="S74" s="69" t="n">
        <f aca="false">IF(S$5="A",Inputs_Actuals!S57,R74*(1-Assumptions!$C$117*Assumptions!$F$169))</f>
        <v>30.1680255333604</v>
      </c>
      <c r="T74" s="69" t="n">
        <f aca="false">IF(T$5="A",Inputs_Actuals!T57,S74*(1-Assumptions!$C$117*Assumptions!$F$169))</f>
        <v>29.5344969971599</v>
      </c>
      <c r="U74" s="69" t="n">
        <f aca="false">IF(U$5="A",Inputs_Actuals!U57,T74*(1-Assumptions!$C$117*Assumptions!$F$169))</f>
        <v>28.9142725602195</v>
      </c>
      <c r="V74" s="69" t="n">
        <f aca="false">IF(V$5="A",Inputs_Actuals!V57,U74*(1-Assumptions!$C$117*Assumptions!$F$169))</f>
        <v>28.3070728364549</v>
      </c>
      <c r="W74" s="69" t="n">
        <f aca="false">IF(W$5="A",Inputs_Actuals!W57,V74*(1-Assumptions!$C$117*Assumptions!$F$169))</f>
        <v>27.7126243068893</v>
      </c>
      <c r="X74" s="69" t="n">
        <f aca="false">IF(X$5="A",Inputs_Actuals!X57,W74*(1-Assumptions!$C$117*Assumptions!$F$169))</f>
        <v>27.1306591964447</v>
      </c>
      <c r="Y74" s="69" t="n">
        <f aca="false">IF(Y$5="A",Inputs_Actuals!Y57,X74*(1-Assumptions!$C$117*Assumptions!$F$169))</f>
        <v>26.5609153533193</v>
      </c>
      <c r="Z74" s="69" t="n">
        <f aca="false">IF(Z$5="A",Inputs_Actuals!Z57,Y74*(1-Assumptions!$C$117*Assumptions!$F$169))</f>
        <v>26.0031361308996</v>
      </c>
      <c r="AA74" s="69" t="n">
        <f aca="false">IF(AA$5="A",Inputs_Actuals!AA57,Z74*(1-Assumptions!$C$117*Assumptions!$F$169))</f>
        <v>25.4570702721507</v>
      </c>
      <c r="AB74" s="69" t="n">
        <f aca="false">IF(AB$5="A",Inputs_Actuals!AB57,AA74*(1-Assumptions!$C$117*Assumptions!$F$169))</f>
        <v>24.9224717964356</v>
      </c>
    </row>
    <row r="75" customFormat="false" ht="15" hidden="false" customHeight="false" outlineLevel="0" collapsed="false">
      <c r="A75" s="28" t="s">
        <v>887</v>
      </c>
      <c r="B75" s="63" t="s">
        <v>923</v>
      </c>
      <c r="C75" s="68" t="n">
        <f aca="false">P75</f>
        <v>11.941918956253</v>
      </c>
      <c r="D75" s="68" t="n">
        <f aca="false">AB75</f>
        <v>9.25691809581892</v>
      </c>
      <c r="E75" s="69" t="n">
        <f aca="false">IF(E$5="A",Inputs_Actuals!E58,History!$F$63*(1-Assumptions!$C$115*Assumptions!$F$169))</f>
        <v>16</v>
      </c>
      <c r="F75" s="69" t="n">
        <f aca="false">IF(F$5="A",Inputs_Actuals!F58,E75*(1-Assumptions!$C$115*Assumptions!$F$169))</f>
        <v>16</v>
      </c>
      <c r="G75" s="69" t="n">
        <f aca="false">IF(G$5="A",Inputs_Actuals!G58,F75*(1-Assumptions!$C$115*Assumptions!$F$169))</f>
        <v>16</v>
      </c>
      <c r="H75" s="69" t="n">
        <f aca="false">IF(H$5="A",Inputs_Actuals!H58,G75*(1-Assumptions!$C$117*Assumptions!$F$169))</f>
        <v>15</v>
      </c>
      <c r="I75" s="69" t="n">
        <f aca="false">IF(I$5="A",Inputs_Actuals!I58,H75*(1-Assumptions!$C$117*Assumptions!$F$169))</f>
        <v>14</v>
      </c>
      <c r="J75" s="69" t="n">
        <f aca="false">IF(J$5="A",Inputs_Actuals!J58,I75*(1-Assumptions!$C$117*Assumptions!$F$169))</f>
        <v>14</v>
      </c>
      <c r="K75" s="69" t="n">
        <f aca="false">IF(K$5="A",Inputs_Actuals!K58,J75*(1-Assumptions!$C$117*Assumptions!$F$169))</f>
        <v>13</v>
      </c>
      <c r="L75" s="69" t="n">
        <f aca="false">IF(L$5="A",Inputs_Actuals!L58,K75*(1-Assumptions!$C$117*Assumptions!$F$169))</f>
        <v>13</v>
      </c>
      <c r="M75" s="69" t="n">
        <f aca="false">IF(M$5="A",Inputs_Actuals!M58,L75*(1-Assumptions!$C$117*Assumptions!$F$169))</f>
        <v>12.727</v>
      </c>
      <c r="N75" s="69" t="n">
        <f aca="false">IF(N$5="A",Inputs_Actuals!N58,M75*(1-Assumptions!$C$117*Assumptions!$F$169))</f>
        <v>12.459733</v>
      </c>
      <c r="O75" s="69" t="n">
        <f aca="false">IF(O$5="A",Inputs_Actuals!O58,N75*(1-Assumptions!$C$117*Assumptions!$F$169))</f>
        <v>12.198078607</v>
      </c>
      <c r="P75" s="69" t="n">
        <f aca="false">IF(P$5="A",Inputs_Actuals!P58,O75*(1-Assumptions!$C$117*Assumptions!$F$169))</f>
        <v>11.941918956253</v>
      </c>
      <c r="Q75" s="69" t="n">
        <f aca="false">IF(Q$5="A",Inputs_Actuals!Q58,P75*(1-Assumptions!$C$117*Assumptions!$F$169))</f>
        <v>11.6911386581717</v>
      </c>
      <c r="R75" s="69" t="n">
        <f aca="false">IF(R$5="A",Inputs_Actuals!R58,Q75*(1-Assumptions!$C$117*Assumptions!$F$169))</f>
        <v>11.4456247463501</v>
      </c>
      <c r="S75" s="69" t="n">
        <f aca="false">IF(S$5="A",Inputs_Actuals!S58,R75*(1-Assumptions!$C$117*Assumptions!$F$169))</f>
        <v>11.2052666266767</v>
      </c>
      <c r="T75" s="69" t="n">
        <f aca="false">IF(T$5="A",Inputs_Actuals!T58,S75*(1-Assumptions!$C$117*Assumptions!$F$169))</f>
        <v>10.9699560275165</v>
      </c>
      <c r="U75" s="69" t="n">
        <f aca="false">IF(U$5="A",Inputs_Actuals!U58,T75*(1-Assumptions!$C$117*Assumptions!$F$169))</f>
        <v>10.7395869509387</v>
      </c>
      <c r="V75" s="69" t="n">
        <f aca="false">IF(V$5="A",Inputs_Actuals!V58,U75*(1-Assumptions!$C$117*Assumptions!$F$169))</f>
        <v>10.514055624969</v>
      </c>
      <c r="W75" s="69" t="n">
        <f aca="false">IF(W$5="A",Inputs_Actuals!W58,V75*(1-Assumptions!$C$117*Assumptions!$F$169))</f>
        <v>10.2932604568446</v>
      </c>
      <c r="X75" s="69" t="n">
        <f aca="false">IF(X$5="A",Inputs_Actuals!X58,W75*(1-Assumptions!$C$117*Assumptions!$F$169))</f>
        <v>10.0771019872509</v>
      </c>
      <c r="Y75" s="69" t="n">
        <f aca="false">IF(Y$5="A",Inputs_Actuals!Y58,X75*(1-Assumptions!$C$117*Assumptions!$F$169))</f>
        <v>9.8654828455186</v>
      </c>
      <c r="Z75" s="69" t="n">
        <f aca="false">IF(Z$5="A",Inputs_Actuals!Z58,Y75*(1-Assumptions!$C$117*Assumptions!$F$169))</f>
        <v>9.65830770576271</v>
      </c>
      <c r="AA75" s="69" t="n">
        <f aca="false">IF(AA$5="A",Inputs_Actuals!AA58,Z75*(1-Assumptions!$C$117*Assumptions!$F$169))</f>
        <v>9.45548324394169</v>
      </c>
      <c r="AB75" s="69" t="n">
        <f aca="false">IF(AB$5="A",Inputs_Actuals!AB58,AA75*(1-Assumptions!$C$117*Assumptions!$F$169))</f>
        <v>9.25691809581892</v>
      </c>
    </row>
    <row r="76" customFormat="false" ht="15" hidden="false" customHeight="false" outlineLevel="0" collapsed="false">
      <c r="A76" s="28" t="s">
        <v>888</v>
      </c>
      <c r="B76" s="63" t="s">
        <v>923</v>
      </c>
      <c r="C76" s="68" t="n">
        <f aca="false">P76</f>
        <v>10.104700655291</v>
      </c>
      <c r="D76" s="68" t="n">
        <f aca="false">AB76</f>
        <v>7.83277685030832</v>
      </c>
      <c r="E76" s="69" t="n">
        <f aca="false">IF(E$5="A",Inputs_Actuals!E59,History!$F$64*(1-Assumptions!$C$115*Assumptions!$F$169))</f>
        <v>15</v>
      </c>
      <c r="F76" s="69" t="n">
        <f aca="false">IF(F$5="A",Inputs_Actuals!F59,E76*(1-Assumptions!$C$115*Assumptions!$F$169))</f>
        <v>12</v>
      </c>
      <c r="G76" s="69" t="n">
        <f aca="false">IF(G$5="A",Inputs_Actuals!G59,F76*(1-Assumptions!$C$115*Assumptions!$F$169))</f>
        <v>12</v>
      </c>
      <c r="H76" s="69" t="n">
        <f aca="false">IF(H$5="A",Inputs_Actuals!H59,G76*(1-Assumptions!$C$115*Assumptions!$F$169))</f>
        <v>11</v>
      </c>
      <c r="I76" s="69" t="n">
        <f aca="false">IF(I$5="A",Inputs_Actuals!I59,H76*(1-Assumptions!$C$117*Assumptions!$F$169))</f>
        <v>11</v>
      </c>
      <c r="J76" s="69" t="n">
        <f aca="false">IF(J$5="A",Inputs_Actuals!J59,I76*(1-Assumptions!$C$117*Assumptions!$F$169))</f>
        <v>11</v>
      </c>
      <c r="K76" s="69" t="n">
        <f aca="false">IF(K$5="A",Inputs_Actuals!K59,J76*(1-Assumptions!$C$117*Assumptions!$F$169))</f>
        <v>11</v>
      </c>
      <c r="L76" s="69" t="n">
        <f aca="false">IF(L$5="A",Inputs_Actuals!L59,K76*(1-Assumptions!$C$117*Assumptions!$F$169))</f>
        <v>11</v>
      </c>
      <c r="M76" s="69" t="n">
        <f aca="false">IF(M$5="A",Inputs_Actuals!M59,L76*(1-Assumptions!$C$117*Assumptions!$F$169))</f>
        <v>10.769</v>
      </c>
      <c r="N76" s="69" t="n">
        <f aca="false">IF(N$5="A",Inputs_Actuals!N59,M76*(1-Assumptions!$C$117*Assumptions!$F$169))</f>
        <v>10.542851</v>
      </c>
      <c r="O76" s="69" t="n">
        <f aca="false">IF(O$5="A",Inputs_Actuals!O59,N76*(1-Assumptions!$C$117*Assumptions!$F$169))</f>
        <v>10.321451129</v>
      </c>
      <c r="P76" s="69" t="n">
        <f aca="false">IF(P$5="A",Inputs_Actuals!P59,O76*(1-Assumptions!$C$117*Assumptions!$F$169))</f>
        <v>10.104700655291</v>
      </c>
      <c r="Q76" s="69" t="n">
        <f aca="false">IF(Q$5="A",Inputs_Actuals!Q59,P76*(1-Assumptions!$C$117*Assumptions!$F$169))</f>
        <v>9.89250194152989</v>
      </c>
      <c r="R76" s="69" t="n">
        <f aca="false">IF(R$5="A",Inputs_Actuals!R59,Q76*(1-Assumptions!$C$117*Assumptions!$F$169))</f>
        <v>9.68475940075776</v>
      </c>
      <c r="S76" s="69" t="n">
        <f aca="false">IF(S$5="A",Inputs_Actuals!S59,R76*(1-Assumptions!$C$117*Assumptions!$F$169))</f>
        <v>9.48137945334185</v>
      </c>
      <c r="T76" s="69" t="n">
        <f aca="false">IF(T$5="A",Inputs_Actuals!T59,S76*(1-Assumptions!$C$117*Assumptions!$F$169))</f>
        <v>9.28227048482167</v>
      </c>
      <c r="U76" s="69" t="n">
        <f aca="false">IF(U$5="A",Inputs_Actuals!U59,T76*(1-Assumptions!$C$117*Assumptions!$F$169))</f>
        <v>9.08734280464041</v>
      </c>
      <c r="V76" s="69" t="n">
        <f aca="false">IF(V$5="A",Inputs_Actuals!V59,U76*(1-Assumptions!$C$117*Assumptions!$F$169))</f>
        <v>8.89650860574297</v>
      </c>
      <c r="W76" s="69" t="n">
        <f aca="false">IF(W$5="A",Inputs_Actuals!W59,V76*(1-Assumptions!$C$117*Assumptions!$F$169))</f>
        <v>8.70968192502236</v>
      </c>
      <c r="X76" s="69" t="n">
        <f aca="false">IF(X$5="A",Inputs_Actuals!X59,W76*(1-Assumptions!$C$117*Assumptions!$F$169))</f>
        <v>8.52677860459689</v>
      </c>
      <c r="Y76" s="69" t="n">
        <f aca="false">IF(Y$5="A",Inputs_Actuals!Y59,X76*(1-Assumptions!$C$117*Assumptions!$F$169))</f>
        <v>8.34771625390036</v>
      </c>
      <c r="Z76" s="69" t="n">
        <f aca="false">IF(Z$5="A",Inputs_Actuals!Z59,Y76*(1-Assumptions!$C$117*Assumptions!$F$169))</f>
        <v>8.17241421256845</v>
      </c>
      <c r="AA76" s="69" t="n">
        <f aca="false">IF(AA$5="A",Inputs_Actuals!AA59,Z76*(1-Assumptions!$C$117*Assumptions!$F$169))</f>
        <v>8.00079351410451</v>
      </c>
      <c r="AB76" s="69" t="n">
        <f aca="false">IF(AB$5="A",Inputs_Actuals!AB59,AA76*(1-Assumptions!$C$117*Assumptions!$F$169))</f>
        <v>7.83277685030832</v>
      </c>
    </row>
    <row r="77" customFormat="false" ht="15" hidden="false" customHeight="false" outlineLevel="0" collapsed="false">
      <c r="A77" s="28" t="s">
        <v>889</v>
      </c>
      <c r="B77" s="63" t="s">
        <v>923</v>
      </c>
      <c r="C77" s="68" t="n">
        <f aca="false">P77</f>
        <v>15.616355558177</v>
      </c>
      <c r="D77" s="68" t="n">
        <f aca="false">AB77</f>
        <v>12.1052005868401</v>
      </c>
      <c r="E77" s="69" t="n">
        <f aca="false">IF(E$5="A",Inputs_Actuals!E60,History!$F$65*(1-Assumptions!$C$115*Assumptions!$F$169))</f>
        <v>19</v>
      </c>
      <c r="F77" s="69" t="n">
        <f aca="false">IF(F$5="A",Inputs_Actuals!F60,E77*(1-Assumptions!$C$115*Assumptions!$F$169))</f>
        <v>18</v>
      </c>
      <c r="G77" s="69" t="n">
        <f aca="false">IF(G$5="A",Inputs_Actuals!G60,F77*(1-Assumptions!$C$115*Assumptions!$F$169))</f>
        <v>17</v>
      </c>
      <c r="H77" s="69" t="n">
        <f aca="false">IF(H$5="A",Inputs_Actuals!H60,G77*(1-Assumptions!$C$115*Assumptions!$F$169))</f>
        <v>17</v>
      </c>
      <c r="I77" s="69" t="n">
        <f aca="false">IF(I$5="A",Inputs_Actuals!I60,H77*(1-Assumptions!$C$115*Assumptions!$F$169))</f>
        <v>17</v>
      </c>
      <c r="J77" s="69" t="n">
        <f aca="false">IF(J$5="A",Inputs_Actuals!J60,I77*(1-Assumptions!$C$117*Assumptions!$F$169))</f>
        <v>17</v>
      </c>
      <c r="K77" s="69" t="n">
        <f aca="false">IF(K$5="A",Inputs_Actuals!K60,J77*(1-Assumptions!$C$117*Assumptions!$F$169))</f>
        <v>17</v>
      </c>
      <c r="L77" s="69" t="n">
        <f aca="false">IF(L$5="A",Inputs_Actuals!L60,K77*(1-Assumptions!$C$117*Assumptions!$F$169))</f>
        <v>17</v>
      </c>
      <c r="M77" s="69" t="n">
        <f aca="false">IF(M$5="A",Inputs_Actuals!M60,L77*(1-Assumptions!$C$117*Assumptions!$F$169))</f>
        <v>16.643</v>
      </c>
      <c r="N77" s="69" t="n">
        <f aca="false">IF(N$5="A",Inputs_Actuals!N60,M77*(1-Assumptions!$C$117*Assumptions!$F$169))</f>
        <v>16.293497</v>
      </c>
      <c r="O77" s="69" t="n">
        <f aca="false">IF(O$5="A",Inputs_Actuals!O60,N77*(1-Assumptions!$C$117*Assumptions!$F$169))</f>
        <v>15.951333563</v>
      </c>
      <c r="P77" s="69" t="n">
        <f aca="false">IF(P$5="A",Inputs_Actuals!P60,O77*(1-Assumptions!$C$117*Assumptions!$F$169))</f>
        <v>15.616355558177</v>
      </c>
      <c r="Q77" s="69" t="n">
        <f aca="false">IF(Q$5="A",Inputs_Actuals!Q60,P77*(1-Assumptions!$C$117*Assumptions!$F$169))</f>
        <v>15.2884120914553</v>
      </c>
      <c r="R77" s="69" t="n">
        <f aca="false">IF(R$5="A",Inputs_Actuals!R60,Q77*(1-Assumptions!$C$117*Assumptions!$F$169))</f>
        <v>14.9673554375347</v>
      </c>
      <c r="S77" s="69" t="n">
        <f aca="false">IF(S$5="A",Inputs_Actuals!S60,R77*(1-Assumptions!$C$117*Assumptions!$F$169))</f>
        <v>14.6530409733465</v>
      </c>
      <c r="T77" s="69" t="n">
        <f aca="false">IF(T$5="A",Inputs_Actuals!T60,S77*(1-Assumptions!$C$117*Assumptions!$F$169))</f>
        <v>14.3453271129062</v>
      </c>
      <c r="U77" s="69" t="n">
        <f aca="false">IF(U$5="A",Inputs_Actuals!U60,T77*(1-Assumptions!$C$117*Assumptions!$F$169))</f>
        <v>14.0440752435352</v>
      </c>
      <c r="V77" s="69" t="n">
        <f aca="false">IF(V$5="A",Inputs_Actuals!V60,U77*(1-Assumptions!$C$117*Assumptions!$F$169))</f>
        <v>13.749149663421</v>
      </c>
      <c r="W77" s="69" t="n">
        <f aca="false">IF(W$5="A",Inputs_Actuals!W60,V77*(1-Assumptions!$C$117*Assumptions!$F$169))</f>
        <v>13.4604175204891</v>
      </c>
      <c r="X77" s="69" t="n">
        <f aca="false">IF(X$5="A",Inputs_Actuals!X60,W77*(1-Assumptions!$C$117*Assumptions!$F$169))</f>
        <v>13.1777487525588</v>
      </c>
      <c r="Y77" s="69" t="n">
        <f aca="false">IF(Y$5="A",Inputs_Actuals!Y60,X77*(1-Assumptions!$C$117*Assumptions!$F$169))</f>
        <v>12.9010160287551</v>
      </c>
      <c r="Z77" s="69" t="n">
        <f aca="false">IF(Z$5="A",Inputs_Actuals!Z60,Y77*(1-Assumptions!$C$117*Assumptions!$F$169))</f>
        <v>12.6300946921512</v>
      </c>
      <c r="AA77" s="69" t="n">
        <f aca="false">IF(AA$5="A",Inputs_Actuals!AA60,Z77*(1-Assumptions!$C$117*Assumptions!$F$169))</f>
        <v>12.3648627036161</v>
      </c>
      <c r="AB77" s="69" t="n">
        <f aca="false">IF(AB$5="A",Inputs_Actuals!AB60,AA77*(1-Assumptions!$C$117*Assumptions!$F$169))</f>
        <v>12.1052005868401</v>
      </c>
    </row>
    <row r="78" customFormat="false" ht="15" hidden="false" customHeight="false" outlineLevel="0" collapsed="false">
      <c r="A78" s="28" t="s">
        <v>890</v>
      </c>
      <c r="B78" s="63" t="s">
        <v>923</v>
      </c>
      <c r="C78" s="68" t="n">
        <f aca="false">P78</f>
        <v>12.860528106734</v>
      </c>
      <c r="D78" s="68" t="n">
        <f aca="false">AB78</f>
        <v>9.96898871857422</v>
      </c>
      <c r="E78" s="69" t="n">
        <f aca="false">IF(E$5="A",Inputs_Actuals!E61,History!$F$66*(1-Assumptions!$C$115*Assumptions!$F$169))</f>
        <v>21</v>
      </c>
      <c r="F78" s="69" t="n">
        <f aca="false">IF(F$5="A",Inputs_Actuals!F61,E78*(1-Assumptions!$C$115*Assumptions!$F$169))</f>
        <v>20</v>
      </c>
      <c r="G78" s="69" t="n">
        <f aca="false">IF(G$5="A",Inputs_Actuals!G61,F78*(1-Assumptions!$C$115*Assumptions!$F$169))</f>
        <v>20</v>
      </c>
      <c r="H78" s="69" t="n">
        <f aca="false">IF(H$5="A",Inputs_Actuals!H61,G78*(1-Assumptions!$C$115*Assumptions!$F$169))</f>
        <v>18</v>
      </c>
      <c r="I78" s="69" t="n">
        <f aca="false">IF(I$5="A",Inputs_Actuals!I61,H78*(1-Assumptions!$C$115*Assumptions!$F$169))</f>
        <v>18</v>
      </c>
      <c r="J78" s="69" t="n">
        <f aca="false">IF(J$5="A",Inputs_Actuals!J61,I78*(1-Assumptions!$C$115*Assumptions!$F$169))</f>
        <v>16</v>
      </c>
      <c r="K78" s="69" t="n">
        <f aca="false">IF(K$5="A",Inputs_Actuals!K61,J78*(1-Assumptions!$C$117*Assumptions!$F$169))</f>
        <v>15</v>
      </c>
      <c r="L78" s="69" t="n">
        <f aca="false">IF(L$5="A",Inputs_Actuals!L61,K78*(1-Assumptions!$C$117*Assumptions!$F$169))</f>
        <v>14</v>
      </c>
      <c r="M78" s="69" t="n">
        <f aca="false">IF(M$5="A",Inputs_Actuals!M61,L78*(1-Assumptions!$C$117*Assumptions!$F$169))</f>
        <v>13.706</v>
      </c>
      <c r="N78" s="69" t="n">
        <f aca="false">IF(N$5="A",Inputs_Actuals!N61,M78*(1-Assumptions!$C$117*Assumptions!$F$169))</f>
        <v>13.418174</v>
      </c>
      <c r="O78" s="69" t="n">
        <f aca="false">IF(O$5="A",Inputs_Actuals!O61,N78*(1-Assumptions!$C$117*Assumptions!$F$169))</f>
        <v>13.136392346</v>
      </c>
      <c r="P78" s="69" t="n">
        <f aca="false">IF(P$5="A",Inputs_Actuals!P61,O78*(1-Assumptions!$C$117*Assumptions!$F$169))</f>
        <v>12.860528106734</v>
      </c>
      <c r="Q78" s="69" t="n">
        <f aca="false">IF(Q$5="A",Inputs_Actuals!Q61,P78*(1-Assumptions!$C$117*Assumptions!$F$169))</f>
        <v>12.5904570164926</v>
      </c>
      <c r="R78" s="69" t="n">
        <f aca="false">IF(R$5="A",Inputs_Actuals!R61,Q78*(1-Assumptions!$C$117*Assumptions!$F$169))</f>
        <v>12.3260574191462</v>
      </c>
      <c r="S78" s="69" t="n">
        <f aca="false">IF(S$5="A",Inputs_Actuals!S61,R78*(1-Assumptions!$C$117*Assumptions!$F$169))</f>
        <v>12.0672102133442</v>
      </c>
      <c r="T78" s="69" t="n">
        <f aca="false">IF(T$5="A",Inputs_Actuals!T61,S78*(1-Assumptions!$C$117*Assumptions!$F$169))</f>
        <v>11.8137987988639</v>
      </c>
      <c r="U78" s="69" t="n">
        <f aca="false">IF(U$5="A",Inputs_Actuals!U61,T78*(1-Assumptions!$C$117*Assumptions!$F$169))</f>
        <v>11.5657090240878</v>
      </c>
      <c r="V78" s="69" t="n">
        <f aca="false">IF(V$5="A",Inputs_Actuals!V61,U78*(1-Assumptions!$C$117*Assumptions!$F$169))</f>
        <v>11.322829134582</v>
      </c>
      <c r="W78" s="69" t="n">
        <f aca="false">IF(W$5="A",Inputs_Actuals!W61,V78*(1-Assumptions!$C$117*Assumptions!$F$169))</f>
        <v>11.0850497227557</v>
      </c>
      <c r="X78" s="69" t="n">
        <f aca="false">IF(X$5="A",Inputs_Actuals!X61,W78*(1-Assumptions!$C$117*Assumptions!$F$169))</f>
        <v>10.8522636785779</v>
      </c>
      <c r="Y78" s="69" t="n">
        <f aca="false">IF(Y$5="A",Inputs_Actuals!Y61,X78*(1-Assumptions!$C$117*Assumptions!$F$169))</f>
        <v>10.6243661413277</v>
      </c>
      <c r="Z78" s="69" t="n">
        <f aca="false">IF(Z$5="A",Inputs_Actuals!Z61,Y78*(1-Assumptions!$C$117*Assumptions!$F$169))</f>
        <v>10.4012544523598</v>
      </c>
      <c r="AA78" s="69" t="n">
        <f aca="false">IF(AA$5="A",Inputs_Actuals!AA61,Z78*(1-Assumptions!$C$117*Assumptions!$F$169))</f>
        <v>10.1828281088603</v>
      </c>
      <c r="AB78" s="69" t="n">
        <f aca="false">IF(AB$5="A",Inputs_Actuals!AB61,AA78*(1-Assumptions!$C$117*Assumptions!$F$169))</f>
        <v>9.96898871857422</v>
      </c>
    </row>
    <row r="79" customFormat="false" ht="15" hidden="false" customHeight="false" outlineLevel="0" collapsed="false">
      <c r="A79" s="28" t="s">
        <v>891</v>
      </c>
      <c r="B79" s="63" t="s">
        <v>923</v>
      </c>
      <c r="C79" s="68" t="n">
        <f aca="false">P79</f>
        <v>16.534964708658</v>
      </c>
      <c r="D79" s="68" t="n">
        <f aca="false">AB79</f>
        <v>12.8172712095954</v>
      </c>
      <c r="E79" s="69" t="n">
        <f aca="false">IF(E$5="A",Inputs_Actuals!E62,History!$F$67*(1-Assumptions!$C$115*Assumptions!$F$169))</f>
        <v>22</v>
      </c>
      <c r="F79" s="69" t="n">
        <f aca="false">IF(F$5="A",Inputs_Actuals!F62,E79*(1-Assumptions!$C$115*Assumptions!$F$169))</f>
        <v>21</v>
      </c>
      <c r="G79" s="69" t="n">
        <f aca="false">IF(G$5="A",Inputs_Actuals!G62,F79*(1-Assumptions!$C$115*Assumptions!$F$169))</f>
        <v>21</v>
      </c>
      <c r="H79" s="69" t="n">
        <f aca="false">IF(H$5="A",Inputs_Actuals!H62,G79*(1-Assumptions!$C$115*Assumptions!$F$169))</f>
        <v>20</v>
      </c>
      <c r="I79" s="69" t="n">
        <f aca="false">IF(I$5="A",Inputs_Actuals!I62,H79*(1-Assumptions!$C$115*Assumptions!$F$169))</f>
        <v>19</v>
      </c>
      <c r="J79" s="69" t="n">
        <f aca="false">IF(J$5="A",Inputs_Actuals!J62,I79*(1-Assumptions!$C$115*Assumptions!$F$169))</f>
        <v>18</v>
      </c>
      <c r="K79" s="69" t="n">
        <f aca="false">IF(K$5="A",Inputs_Actuals!K62,J79*(1-Assumptions!$C$115*Assumptions!$F$169))</f>
        <v>18</v>
      </c>
      <c r="L79" s="69" t="n">
        <f aca="false">IF(L$5="A",Inputs_Actuals!L62,K79*(1-Assumptions!$C$117*Assumptions!$F$169))</f>
        <v>18</v>
      </c>
      <c r="M79" s="69" t="n">
        <f aca="false">IF(M$5="A",Inputs_Actuals!M62,L79*(1-Assumptions!$C$117*Assumptions!$F$169))</f>
        <v>17.622</v>
      </c>
      <c r="N79" s="69" t="n">
        <f aca="false">IF(N$5="A",Inputs_Actuals!N62,M79*(1-Assumptions!$C$117*Assumptions!$F$169))</f>
        <v>17.251938</v>
      </c>
      <c r="O79" s="69" t="n">
        <f aca="false">IF(O$5="A",Inputs_Actuals!O62,N79*(1-Assumptions!$C$117*Assumptions!$F$169))</f>
        <v>16.889647302</v>
      </c>
      <c r="P79" s="69" t="n">
        <f aca="false">IF(P$5="A",Inputs_Actuals!P62,O79*(1-Assumptions!$C$117*Assumptions!$F$169))</f>
        <v>16.534964708658</v>
      </c>
      <c r="Q79" s="69" t="n">
        <f aca="false">IF(Q$5="A",Inputs_Actuals!Q62,P79*(1-Assumptions!$C$117*Assumptions!$F$169))</f>
        <v>16.1877304497762</v>
      </c>
      <c r="R79" s="69" t="n">
        <f aca="false">IF(R$5="A",Inputs_Actuals!R62,Q79*(1-Assumptions!$C$117*Assumptions!$F$169))</f>
        <v>15.8477881103309</v>
      </c>
      <c r="S79" s="69" t="n">
        <f aca="false">IF(S$5="A",Inputs_Actuals!S62,R79*(1-Assumptions!$C$117*Assumptions!$F$169))</f>
        <v>15.5149845600139</v>
      </c>
      <c r="T79" s="69" t="n">
        <f aca="false">IF(T$5="A",Inputs_Actuals!T62,S79*(1-Assumptions!$C$117*Assumptions!$F$169))</f>
        <v>15.1891698842536</v>
      </c>
      <c r="U79" s="69" t="n">
        <f aca="false">IF(U$5="A",Inputs_Actuals!U62,T79*(1-Assumptions!$C$117*Assumptions!$F$169))</f>
        <v>14.8701973166843</v>
      </c>
      <c r="V79" s="69" t="n">
        <f aca="false">IF(V$5="A",Inputs_Actuals!V62,U79*(1-Assumptions!$C$117*Assumptions!$F$169))</f>
        <v>14.5579231730339</v>
      </c>
      <c r="W79" s="69" t="n">
        <f aca="false">IF(W$5="A",Inputs_Actuals!W62,V79*(1-Assumptions!$C$117*Assumptions!$F$169))</f>
        <v>14.2522067864002</v>
      </c>
      <c r="X79" s="69" t="n">
        <f aca="false">IF(X$5="A",Inputs_Actuals!X62,W79*(1-Assumptions!$C$117*Assumptions!$F$169))</f>
        <v>13.9529104438858</v>
      </c>
      <c r="Y79" s="69" t="n">
        <f aca="false">IF(Y$5="A",Inputs_Actuals!Y62,X79*(1-Assumptions!$C$117*Assumptions!$F$169))</f>
        <v>13.6598993245642</v>
      </c>
      <c r="Z79" s="69" t="n">
        <f aca="false">IF(Z$5="A",Inputs_Actuals!Z62,Y79*(1-Assumptions!$C$117*Assumptions!$F$169))</f>
        <v>13.3730414387484</v>
      </c>
      <c r="AA79" s="69" t="n">
        <f aca="false">IF(AA$5="A",Inputs_Actuals!AA62,Z79*(1-Assumptions!$C$117*Assumptions!$F$169))</f>
        <v>13.0922075685347</v>
      </c>
      <c r="AB79" s="69" t="n">
        <f aca="false">IF(AB$5="A",Inputs_Actuals!AB62,AA79*(1-Assumptions!$C$117*Assumptions!$F$169))</f>
        <v>12.8172712095954</v>
      </c>
    </row>
    <row r="80" customFormat="false" ht="15" hidden="false" customHeight="false" outlineLevel="0" collapsed="false">
      <c r="A80" s="28" t="s">
        <v>892</v>
      </c>
      <c r="B80" s="63" t="s">
        <v>923</v>
      </c>
      <c r="C80" s="68" t="n">
        <f aca="false">P80</f>
        <v>11.941918956253</v>
      </c>
      <c r="D80" s="68" t="n">
        <f aca="false">AB80</f>
        <v>9.25691809581892</v>
      </c>
      <c r="E80" s="69" t="n">
        <f aca="false">IF(E$5="A",Inputs_Actuals!E63,History!$F$68*(1-Assumptions!$C$115*Assumptions!$F$169))</f>
        <v>17</v>
      </c>
      <c r="F80" s="69" t="n">
        <f aca="false">IF(F$5="A",Inputs_Actuals!F63,E80*(1-Assumptions!$C$115*Assumptions!$F$169))</f>
        <v>16</v>
      </c>
      <c r="G80" s="69" t="n">
        <f aca="false">IF(G$5="A",Inputs_Actuals!G63,F80*(1-Assumptions!$C$115*Assumptions!$F$169))</f>
        <v>16</v>
      </c>
      <c r="H80" s="69" t="n">
        <f aca="false">IF(H$5="A",Inputs_Actuals!H63,G80*(1-Assumptions!$C$115*Assumptions!$F$169))</f>
        <v>16</v>
      </c>
      <c r="I80" s="69" t="n">
        <f aca="false">IF(I$5="A",Inputs_Actuals!I63,H80*(1-Assumptions!$C$115*Assumptions!$F$169))</f>
        <v>16</v>
      </c>
      <c r="J80" s="69" t="n">
        <f aca="false">IF(J$5="A",Inputs_Actuals!J63,I80*(1-Assumptions!$C$115*Assumptions!$F$169))</f>
        <v>15</v>
      </c>
      <c r="K80" s="69" t="n">
        <f aca="false">IF(K$5="A",Inputs_Actuals!K63,J80*(1-Assumptions!$C$115*Assumptions!$F$169))</f>
        <v>14</v>
      </c>
      <c r="L80" s="69" t="n">
        <f aca="false">IF(L$5="A",Inputs_Actuals!L63,K80*(1-Assumptions!$C$115*Assumptions!$F$169))</f>
        <v>13</v>
      </c>
      <c r="M80" s="69" t="n">
        <f aca="false">IF(M$5="A",Inputs_Actuals!M63,L80*(1-Assumptions!$C$117*Assumptions!$F$169))</f>
        <v>12.727</v>
      </c>
      <c r="N80" s="69" t="n">
        <f aca="false">IF(N$5="A",Inputs_Actuals!N63,M80*(1-Assumptions!$C$117*Assumptions!$F$169))</f>
        <v>12.459733</v>
      </c>
      <c r="O80" s="69" t="n">
        <f aca="false">IF(O$5="A",Inputs_Actuals!O63,N80*(1-Assumptions!$C$117*Assumptions!$F$169))</f>
        <v>12.198078607</v>
      </c>
      <c r="P80" s="69" t="n">
        <f aca="false">IF(P$5="A",Inputs_Actuals!P63,O80*(1-Assumptions!$C$117*Assumptions!$F$169))</f>
        <v>11.941918956253</v>
      </c>
      <c r="Q80" s="69" t="n">
        <f aca="false">IF(Q$5="A",Inputs_Actuals!Q63,P80*(1-Assumptions!$C$117*Assumptions!$F$169))</f>
        <v>11.6911386581717</v>
      </c>
      <c r="R80" s="69" t="n">
        <f aca="false">IF(R$5="A",Inputs_Actuals!R63,Q80*(1-Assumptions!$C$117*Assumptions!$F$169))</f>
        <v>11.4456247463501</v>
      </c>
      <c r="S80" s="69" t="n">
        <f aca="false">IF(S$5="A",Inputs_Actuals!S63,R80*(1-Assumptions!$C$117*Assumptions!$F$169))</f>
        <v>11.2052666266767</v>
      </c>
      <c r="T80" s="69" t="n">
        <f aca="false">IF(T$5="A",Inputs_Actuals!T63,S80*(1-Assumptions!$C$117*Assumptions!$F$169))</f>
        <v>10.9699560275165</v>
      </c>
      <c r="U80" s="69" t="n">
        <f aca="false">IF(U$5="A",Inputs_Actuals!U63,T80*(1-Assumptions!$C$117*Assumptions!$F$169))</f>
        <v>10.7395869509387</v>
      </c>
      <c r="V80" s="69" t="n">
        <f aca="false">IF(V$5="A",Inputs_Actuals!V63,U80*(1-Assumptions!$C$117*Assumptions!$F$169))</f>
        <v>10.514055624969</v>
      </c>
      <c r="W80" s="69" t="n">
        <f aca="false">IF(W$5="A",Inputs_Actuals!W63,V80*(1-Assumptions!$C$117*Assumptions!$F$169))</f>
        <v>10.2932604568446</v>
      </c>
      <c r="X80" s="69" t="n">
        <f aca="false">IF(X$5="A",Inputs_Actuals!X63,W80*(1-Assumptions!$C$117*Assumptions!$F$169))</f>
        <v>10.0771019872509</v>
      </c>
      <c r="Y80" s="69" t="n">
        <f aca="false">IF(Y$5="A",Inputs_Actuals!Y63,X80*(1-Assumptions!$C$117*Assumptions!$F$169))</f>
        <v>9.8654828455186</v>
      </c>
      <c r="Z80" s="69" t="n">
        <f aca="false">IF(Z$5="A",Inputs_Actuals!Z63,Y80*(1-Assumptions!$C$117*Assumptions!$F$169))</f>
        <v>9.65830770576271</v>
      </c>
      <c r="AA80" s="69" t="n">
        <f aca="false">IF(AA$5="A",Inputs_Actuals!AA63,Z80*(1-Assumptions!$C$117*Assumptions!$F$169))</f>
        <v>9.45548324394169</v>
      </c>
      <c r="AB80" s="69" t="n">
        <f aca="false">IF(AB$5="A",Inputs_Actuals!AB63,AA80*(1-Assumptions!$C$117*Assumptions!$F$169))</f>
        <v>9.25691809581892</v>
      </c>
    </row>
    <row r="81" customFormat="false" ht="15" hidden="false" customHeight="false" outlineLevel="0" collapsed="false">
      <c r="A81" s="28" t="s">
        <v>893</v>
      </c>
      <c r="B81" s="63" t="s">
        <v>923</v>
      </c>
      <c r="C81" s="68" t="n">
        <f aca="false">P81</f>
        <v>2.727678039273</v>
      </c>
      <c r="D81" s="68" t="n">
        <f aca="false">AB81</f>
        <v>2.11439152231835</v>
      </c>
      <c r="E81" s="69" t="n">
        <f aca="false">IF(E$5="A",Inputs_Actuals!E64,History!$F$69*(1-Assumptions!$C$115*Assumptions!$F$169))</f>
        <v>4</v>
      </c>
      <c r="F81" s="69" t="n">
        <f aca="false">IF(F$5="A",Inputs_Actuals!F64,E81*(1-Assumptions!$C$115*Assumptions!$F$169))</f>
        <v>4</v>
      </c>
      <c r="G81" s="69" t="n">
        <f aca="false">IF(G$5="A",Inputs_Actuals!G64,F81*(1-Assumptions!$C$115*Assumptions!$F$169))</f>
        <v>4</v>
      </c>
      <c r="H81" s="69" t="n">
        <f aca="false">IF(H$5="A",Inputs_Actuals!H64,G81*(1-Assumptions!$C$115*Assumptions!$F$169))</f>
        <v>4</v>
      </c>
      <c r="I81" s="69" t="n">
        <f aca="false">IF(I$5="A",Inputs_Actuals!I64,H81*(1-Assumptions!$C$115*Assumptions!$F$169))</f>
        <v>3</v>
      </c>
      <c r="J81" s="69" t="n">
        <f aca="false">IF(J$5="A",Inputs_Actuals!J64,I81*(1-Assumptions!$C$115*Assumptions!$F$169))</f>
        <v>3</v>
      </c>
      <c r="K81" s="69" t="n">
        <f aca="false">IF(K$5="A",Inputs_Actuals!K64,J81*(1-Assumptions!$C$115*Assumptions!$F$169))</f>
        <v>3</v>
      </c>
      <c r="L81" s="69" t="n">
        <f aca="false">IF(L$5="A",Inputs_Actuals!L64,K81*(1-Assumptions!$C$115*Assumptions!$F$169))</f>
        <v>3</v>
      </c>
      <c r="M81" s="69" t="n">
        <f aca="false">IF(M$5="A",Inputs_Actuals!M64,L81*(1-Assumptions!$C$115*Assumptions!$F$169))</f>
        <v>2.907</v>
      </c>
      <c r="N81" s="69" t="n">
        <f aca="false">IF(N$5="A",Inputs_Actuals!N64,M81*(1-Assumptions!$C$117*Assumptions!$F$169))</f>
        <v>2.845953</v>
      </c>
      <c r="O81" s="69" t="n">
        <f aca="false">IF(O$5="A",Inputs_Actuals!O64,N81*(1-Assumptions!$C$117*Assumptions!$F$169))</f>
        <v>2.786187987</v>
      </c>
      <c r="P81" s="69" t="n">
        <f aca="false">IF(P$5="A",Inputs_Actuals!P64,O81*(1-Assumptions!$C$117*Assumptions!$F$169))</f>
        <v>2.727678039273</v>
      </c>
      <c r="Q81" s="69" t="n">
        <f aca="false">IF(Q$5="A",Inputs_Actuals!Q64,P81*(1-Assumptions!$C$117*Assumptions!$F$169))</f>
        <v>2.67039680044827</v>
      </c>
      <c r="R81" s="69" t="n">
        <f aca="false">IF(R$5="A",Inputs_Actuals!R64,Q81*(1-Assumptions!$C$117*Assumptions!$F$169))</f>
        <v>2.61431846763885</v>
      </c>
      <c r="S81" s="69" t="n">
        <f aca="false">IF(S$5="A",Inputs_Actuals!S64,R81*(1-Assumptions!$C$117*Assumptions!$F$169))</f>
        <v>2.55941777981844</v>
      </c>
      <c r="T81" s="69" t="n">
        <f aca="false">IF(T$5="A",Inputs_Actuals!T64,S81*(1-Assumptions!$C$117*Assumptions!$F$169))</f>
        <v>2.50567000644225</v>
      </c>
      <c r="U81" s="69" t="n">
        <f aca="false">IF(U$5="A",Inputs_Actuals!U64,T81*(1-Assumptions!$C$117*Assumptions!$F$169))</f>
        <v>2.45305093630696</v>
      </c>
      <c r="V81" s="69" t="n">
        <f aca="false">IF(V$5="A",Inputs_Actuals!V64,U81*(1-Assumptions!$C$117*Assumptions!$F$169))</f>
        <v>2.40153686664452</v>
      </c>
      <c r="W81" s="69" t="n">
        <f aca="false">IF(W$5="A",Inputs_Actuals!W64,V81*(1-Assumptions!$C$117*Assumptions!$F$169))</f>
        <v>2.35110459244498</v>
      </c>
      <c r="X81" s="69" t="n">
        <f aca="false">IF(X$5="A",Inputs_Actuals!X64,W81*(1-Assumptions!$C$117*Assumptions!$F$169))</f>
        <v>2.30173139600364</v>
      </c>
      <c r="Y81" s="69" t="n">
        <f aca="false">IF(Y$5="A",Inputs_Actuals!Y64,X81*(1-Assumptions!$C$117*Assumptions!$F$169))</f>
        <v>2.25339503668756</v>
      </c>
      <c r="Z81" s="69" t="n">
        <f aca="false">IF(Z$5="A",Inputs_Actuals!Z64,Y81*(1-Assumptions!$C$117*Assumptions!$F$169))</f>
        <v>2.20607374091712</v>
      </c>
      <c r="AA81" s="69" t="n">
        <f aca="false">IF(AA$5="A",Inputs_Actuals!AA64,Z81*(1-Assumptions!$C$117*Assumptions!$F$169))</f>
        <v>2.15974619235786</v>
      </c>
      <c r="AB81" s="69" t="n">
        <f aca="false">IF(AB$5="A",Inputs_Actuals!AB64,AA81*(1-Assumptions!$C$117*Assumptions!$F$169))</f>
        <v>2.11439152231835</v>
      </c>
    </row>
    <row r="82" customFormat="false" ht="15" hidden="false" customHeight="false" outlineLevel="0" collapsed="false">
      <c r="A82" s="28" t="s">
        <v>894</v>
      </c>
      <c r="B82" s="63" t="s">
        <v>923</v>
      </c>
      <c r="C82" s="68" t="n">
        <f aca="false">P82</f>
        <v>19.798651835622</v>
      </c>
      <c r="D82" s="68" t="n">
        <f aca="false">AB82</f>
        <v>15.347156442895</v>
      </c>
      <c r="E82" s="69" t="n">
        <f aca="false">IF(E$5="A",Inputs_Actuals!E65,History!$F$70*(1-Assumptions!$C$113*Assumptions!$F$169))</f>
        <v>28</v>
      </c>
      <c r="F82" s="69" t="n">
        <f aca="false">IF(F$5="A",Inputs_Actuals!F65,E82*(1-Assumptions!$C$115*Assumptions!$F$169))</f>
        <v>27</v>
      </c>
      <c r="G82" s="69" t="n">
        <f aca="false">IF(G$5="A",Inputs_Actuals!G65,F82*(1-Assumptions!$C$115*Assumptions!$F$169))</f>
        <v>27</v>
      </c>
      <c r="H82" s="69" t="n">
        <f aca="false">IF(H$5="A",Inputs_Actuals!H65,G82*(1-Assumptions!$C$115*Assumptions!$F$169))</f>
        <v>27</v>
      </c>
      <c r="I82" s="69" t="n">
        <f aca="false">IF(I$5="A",Inputs_Actuals!I65,H82*(1-Assumptions!$C$115*Assumptions!$F$169))</f>
        <v>26</v>
      </c>
      <c r="J82" s="69" t="n">
        <f aca="false">IF(J$5="A",Inputs_Actuals!J65,I82*(1-Assumptions!$C$115*Assumptions!$F$169))</f>
        <v>25</v>
      </c>
      <c r="K82" s="69" t="n">
        <f aca="false">IF(K$5="A",Inputs_Actuals!K65,J82*(1-Assumptions!$C$115*Assumptions!$F$169))</f>
        <v>24</v>
      </c>
      <c r="L82" s="69" t="n">
        <f aca="false">IF(L$5="A",Inputs_Actuals!L65,K82*(1-Assumptions!$C$115*Assumptions!$F$169))</f>
        <v>22</v>
      </c>
      <c r="M82" s="69" t="n">
        <f aca="false">IF(M$5="A",Inputs_Actuals!M65,L82*(1-Assumptions!$C$115*Assumptions!$F$169))</f>
        <v>21.318</v>
      </c>
      <c r="N82" s="69" t="n">
        <f aca="false">IF(N$5="A",Inputs_Actuals!N65,M82*(1-Assumptions!$C$115*Assumptions!$F$169))</f>
        <v>20.657142</v>
      </c>
      <c r="O82" s="69" t="n">
        <f aca="false">IF(O$5="A",Inputs_Actuals!O65,N82*(1-Assumptions!$C$117*Assumptions!$F$169))</f>
        <v>20.223342018</v>
      </c>
      <c r="P82" s="69" t="n">
        <f aca="false">IF(P$5="A",Inputs_Actuals!P65,O82*(1-Assumptions!$C$117*Assumptions!$F$169))</f>
        <v>19.798651835622</v>
      </c>
      <c r="Q82" s="69" t="n">
        <f aca="false">IF(Q$5="A",Inputs_Actuals!Q65,P82*(1-Assumptions!$C$117*Assumptions!$F$169))</f>
        <v>19.3828801470739</v>
      </c>
      <c r="R82" s="69" t="n">
        <f aca="false">IF(R$5="A",Inputs_Actuals!R65,Q82*(1-Assumptions!$C$117*Assumptions!$F$169))</f>
        <v>18.9758396639854</v>
      </c>
      <c r="S82" s="69" t="n">
        <f aca="false">IF(S$5="A",Inputs_Actuals!S65,R82*(1-Assumptions!$C$117*Assumptions!$F$169))</f>
        <v>18.5773470310417</v>
      </c>
      <c r="T82" s="69" t="n">
        <f aca="false">IF(T$5="A",Inputs_Actuals!T65,S82*(1-Assumptions!$C$117*Assumptions!$F$169))</f>
        <v>18.1872227433898</v>
      </c>
      <c r="U82" s="69" t="n">
        <f aca="false">IF(U$5="A",Inputs_Actuals!U65,T82*(1-Assumptions!$C$117*Assumptions!$F$169))</f>
        <v>17.8052910657786</v>
      </c>
      <c r="V82" s="69" t="n">
        <f aca="false">IF(V$5="A",Inputs_Actuals!V65,U82*(1-Assumptions!$C$117*Assumptions!$F$169))</f>
        <v>17.4313799533973</v>
      </c>
      <c r="W82" s="69" t="n">
        <f aca="false">IF(W$5="A",Inputs_Actuals!W65,V82*(1-Assumptions!$C$117*Assumptions!$F$169))</f>
        <v>17.0653209743759</v>
      </c>
      <c r="X82" s="69" t="n">
        <f aca="false">IF(X$5="A",Inputs_Actuals!X65,W82*(1-Assumptions!$C$117*Assumptions!$F$169))</f>
        <v>16.706949233914</v>
      </c>
      <c r="Y82" s="69" t="n">
        <f aca="false">IF(Y$5="A",Inputs_Actuals!Y65,X82*(1-Assumptions!$C$117*Assumptions!$F$169))</f>
        <v>16.3561033000018</v>
      </c>
      <c r="Z82" s="69" t="n">
        <f aca="false">IF(Z$5="A",Inputs_Actuals!Z65,Y82*(1-Assumptions!$C$117*Assumptions!$F$169))</f>
        <v>16.0126251307018</v>
      </c>
      <c r="AA82" s="69" t="n">
        <f aca="false">IF(AA$5="A",Inputs_Actuals!AA65,Z82*(1-Assumptions!$C$117*Assumptions!$F$169))</f>
        <v>15.6763600029571</v>
      </c>
      <c r="AB82" s="69" t="n">
        <f aca="false">IF(AB$5="A",Inputs_Actuals!AB65,AA82*(1-Assumptions!$C$117*Assumptions!$F$169))</f>
        <v>15.347156442895</v>
      </c>
    </row>
    <row r="83" customFormat="false" ht="15" hidden="false" customHeight="false" outlineLevel="0" collapsed="false">
      <c r="A83" s="28" t="s">
        <v>895</v>
      </c>
      <c r="B83" s="63" t="s">
        <v>923</v>
      </c>
      <c r="C83" s="68" t="n">
        <f aca="false">P83</f>
        <v>14.251940665776</v>
      </c>
      <c r="D83" s="68" t="n">
        <f aca="false">AB83</f>
        <v>11.0475584311748</v>
      </c>
      <c r="E83" s="69" t="n">
        <f aca="false">IF(E$5="A",Inputs_Actuals!E66,History!$F$71*(1-Assumptions!$C$113*Assumptions!$F$169))</f>
        <v>24</v>
      </c>
      <c r="F83" s="69" t="n">
        <f aca="false">IF(F$5="A",Inputs_Actuals!F66,E83*(1-Assumptions!$C$113*Assumptions!$F$169))</f>
        <v>22</v>
      </c>
      <c r="G83" s="69" t="n">
        <f aca="false">IF(G$5="A",Inputs_Actuals!G66,F83*(1-Assumptions!$C$115*Assumptions!$F$169))</f>
        <v>20</v>
      </c>
      <c r="H83" s="69" t="n">
        <f aca="false">IF(H$5="A",Inputs_Actuals!H66,G83*(1-Assumptions!$C$115*Assumptions!$F$169))</f>
        <v>19</v>
      </c>
      <c r="I83" s="69" t="n">
        <f aca="false">IF(I$5="A",Inputs_Actuals!I66,H83*(1-Assumptions!$C$115*Assumptions!$F$169))</f>
        <v>18</v>
      </c>
      <c r="J83" s="69" t="n">
        <f aca="false">IF(J$5="A",Inputs_Actuals!J66,I83*(1-Assumptions!$C$115*Assumptions!$F$169))</f>
        <v>17</v>
      </c>
      <c r="K83" s="69" t="n">
        <f aca="false">IF(K$5="A",Inputs_Actuals!K66,J83*(1-Assumptions!$C$115*Assumptions!$F$169))</f>
        <v>17</v>
      </c>
      <c r="L83" s="69" t="n">
        <f aca="false">IF(L$5="A",Inputs_Actuals!L66,K83*(1-Assumptions!$C$115*Assumptions!$F$169))</f>
        <v>16</v>
      </c>
      <c r="M83" s="69" t="n">
        <f aca="false">IF(M$5="A",Inputs_Actuals!M66,L83*(1-Assumptions!$C$115*Assumptions!$F$169))</f>
        <v>15.504</v>
      </c>
      <c r="N83" s="69" t="n">
        <f aca="false">IF(N$5="A",Inputs_Actuals!N66,M83*(1-Assumptions!$C$115*Assumptions!$F$169))</f>
        <v>15.023376</v>
      </c>
      <c r="O83" s="69" t="n">
        <f aca="false">IF(O$5="A",Inputs_Actuals!O66,N83*(1-Assumptions!$C$115*Assumptions!$F$169))</f>
        <v>14.557651344</v>
      </c>
      <c r="P83" s="69" t="n">
        <f aca="false">IF(P$5="A",Inputs_Actuals!P66,O83*(1-Assumptions!$C$117*Assumptions!$F$169))</f>
        <v>14.251940665776</v>
      </c>
      <c r="Q83" s="69" t="n">
        <f aca="false">IF(Q$5="A",Inputs_Actuals!Q66,P83*(1-Assumptions!$C$117*Assumptions!$F$169))</f>
        <v>13.9526499117947</v>
      </c>
      <c r="R83" s="69" t="n">
        <f aca="false">IF(R$5="A",Inputs_Actuals!R66,Q83*(1-Assumptions!$C$117*Assumptions!$F$169))</f>
        <v>13.659644263647</v>
      </c>
      <c r="S83" s="69" t="n">
        <f aca="false">IF(S$5="A",Inputs_Actuals!S66,R83*(1-Assumptions!$C$117*Assumptions!$F$169))</f>
        <v>13.3727917341104</v>
      </c>
      <c r="T83" s="69" t="n">
        <f aca="false">IF(T$5="A",Inputs_Actuals!T66,S83*(1-Assumptions!$C$117*Assumptions!$F$169))</f>
        <v>13.0919631076941</v>
      </c>
      <c r="U83" s="69" t="n">
        <f aca="false">IF(U$5="A",Inputs_Actuals!U66,T83*(1-Assumptions!$C$117*Assumptions!$F$169))</f>
        <v>12.8170318824325</v>
      </c>
      <c r="V83" s="69" t="n">
        <f aca="false">IF(V$5="A",Inputs_Actuals!V66,U83*(1-Assumptions!$C$117*Assumptions!$F$169))</f>
        <v>12.5478742129014</v>
      </c>
      <c r="W83" s="69" t="n">
        <f aca="false">IF(W$5="A",Inputs_Actuals!W66,V83*(1-Assumptions!$C$117*Assumptions!$F$169))</f>
        <v>12.2843688544305</v>
      </c>
      <c r="X83" s="69" t="n">
        <f aca="false">IF(X$5="A",Inputs_Actuals!X66,W83*(1-Assumptions!$C$117*Assumptions!$F$169))</f>
        <v>12.0263971084875</v>
      </c>
      <c r="Y83" s="69" t="n">
        <f aca="false">IF(Y$5="A",Inputs_Actuals!Y66,X83*(1-Assumptions!$C$117*Assumptions!$F$169))</f>
        <v>11.7738427692092</v>
      </c>
      <c r="Z83" s="69" t="n">
        <f aca="false">IF(Z$5="A",Inputs_Actuals!Z66,Y83*(1-Assumptions!$C$117*Assumptions!$F$169))</f>
        <v>11.5265920710558</v>
      </c>
      <c r="AA83" s="69" t="n">
        <f aca="false">IF(AA$5="A",Inputs_Actuals!AA66,Z83*(1-Assumptions!$C$117*Assumptions!$F$169))</f>
        <v>11.2845336375637</v>
      </c>
      <c r="AB83" s="69" t="n">
        <f aca="false">IF(AB$5="A",Inputs_Actuals!AB66,AA83*(1-Assumptions!$C$117*Assumptions!$F$169))</f>
        <v>11.0475584311748</v>
      </c>
    </row>
    <row r="84" customFormat="false" ht="15" hidden="false" customHeight="false" outlineLevel="0" collapsed="false">
      <c r="A84" s="28" t="s">
        <v>896</v>
      </c>
      <c r="B84" s="63" t="s">
        <v>923</v>
      </c>
      <c r="C84" s="68" t="n">
        <f aca="false">P84</f>
        <v>15.869659671378</v>
      </c>
      <c r="D84" s="68" t="n">
        <f aca="false">AB84</f>
        <v>12.3015522316491</v>
      </c>
      <c r="E84" s="69" t="n">
        <f aca="false">IF(E$5="A",Inputs_Actuals!E67,History!$F$72*(1-Assumptions!$C$113*Assumptions!$F$169))</f>
        <v>24</v>
      </c>
      <c r="F84" s="69" t="n">
        <f aca="false">IF(F$5="A",Inputs_Actuals!F67,E84*(1-Assumptions!$C$113*Assumptions!$F$169))</f>
        <v>22</v>
      </c>
      <c r="G84" s="69" t="n">
        <f aca="false">IF(G$5="A",Inputs_Actuals!G67,F84*(1-Assumptions!$C$113*Assumptions!$F$169))</f>
        <v>22</v>
      </c>
      <c r="H84" s="69" t="n">
        <f aca="false">IF(H$5="A",Inputs_Actuals!H67,G84*(1-Assumptions!$C$115*Assumptions!$F$169))</f>
        <v>21</v>
      </c>
      <c r="I84" s="69" t="n">
        <f aca="false">IF(I$5="A",Inputs_Actuals!I67,H84*(1-Assumptions!$C$115*Assumptions!$F$169))</f>
        <v>20</v>
      </c>
      <c r="J84" s="69" t="n">
        <f aca="false">IF(J$5="A",Inputs_Actuals!J67,I84*(1-Assumptions!$C$115*Assumptions!$F$169))</f>
        <v>18</v>
      </c>
      <c r="K84" s="69" t="n">
        <f aca="false">IF(K$5="A",Inputs_Actuals!K67,J84*(1-Assumptions!$C$115*Assumptions!$F$169))</f>
        <v>18</v>
      </c>
      <c r="L84" s="69" t="n">
        <f aca="false">IF(L$5="A",Inputs_Actuals!L67,K84*(1-Assumptions!$C$115*Assumptions!$F$169))</f>
        <v>18</v>
      </c>
      <c r="M84" s="69" t="n">
        <f aca="false">IF(M$5="A",Inputs_Actuals!M67,L84*(1-Assumptions!$C$115*Assumptions!$F$169))</f>
        <v>17.442</v>
      </c>
      <c r="N84" s="69" t="n">
        <f aca="false">IF(N$5="A",Inputs_Actuals!N67,M84*(1-Assumptions!$C$115*Assumptions!$F$169))</f>
        <v>16.901298</v>
      </c>
      <c r="O84" s="69" t="n">
        <f aca="false">IF(O$5="A",Inputs_Actuals!O67,N84*(1-Assumptions!$C$115*Assumptions!$F$169))</f>
        <v>16.377357762</v>
      </c>
      <c r="P84" s="69" t="n">
        <f aca="false">IF(P$5="A",Inputs_Actuals!P67,O84*(1-Assumptions!$C$115*Assumptions!$F$169))</f>
        <v>15.869659671378</v>
      </c>
      <c r="Q84" s="69" t="n">
        <f aca="false">IF(Q$5="A",Inputs_Actuals!Q67,P84*(1-Assumptions!$C$117*Assumptions!$F$169))</f>
        <v>15.5363968182791</v>
      </c>
      <c r="R84" s="69" t="n">
        <f aca="false">IF(R$5="A",Inputs_Actuals!R67,Q84*(1-Assumptions!$C$117*Assumptions!$F$169))</f>
        <v>15.2101324850952</v>
      </c>
      <c r="S84" s="69" t="n">
        <f aca="false">IF(S$5="A",Inputs_Actuals!S67,R84*(1-Assumptions!$C$117*Assumptions!$F$169))</f>
        <v>14.8907197029082</v>
      </c>
      <c r="T84" s="69" t="n">
        <f aca="false">IF(T$5="A",Inputs_Actuals!T67,S84*(1-Assumptions!$C$117*Assumptions!$F$169))</f>
        <v>14.5780145891471</v>
      </c>
      <c r="U84" s="69" t="n">
        <f aca="false">IF(U$5="A",Inputs_Actuals!U67,T84*(1-Assumptions!$C$117*Assumptions!$F$169))</f>
        <v>14.271876282775</v>
      </c>
      <c r="V84" s="69" t="n">
        <f aca="false">IF(V$5="A",Inputs_Actuals!V67,U84*(1-Assumptions!$C$117*Assumptions!$F$169))</f>
        <v>13.9721668808368</v>
      </c>
      <c r="W84" s="69" t="n">
        <f aca="false">IF(W$5="A",Inputs_Actuals!W67,V84*(1-Assumptions!$C$117*Assumptions!$F$169))</f>
        <v>13.6787513763392</v>
      </c>
      <c r="X84" s="69" t="n">
        <f aca="false">IF(X$5="A",Inputs_Actuals!X67,W84*(1-Assumptions!$C$117*Assumptions!$F$169))</f>
        <v>13.3914975974361</v>
      </c>
      <c r="Y84" s="69" t="n">
        <f aca="false">IF(Y$5="A",Inputs_Actuals!Y67,X84*(1-Assumptions!$C$117*Assumptions!$F$169))</f>
        <v>13.1102761478899</v>
      </c>
      <c r="Z84" s="69" t="n">
        <f aca="false">IF(Z$5="A",Inputs_Actuals!Z67,Y84*(1-Assumptions!$C$117*Assumptions!$F$169))</f>
        <v>12.8349603487842</v>
      </c>
      <c r="AA84" s="69" t="n">
        <f aca="false">IF(AA$5="A",Inputs_Actuals!AA67,Z84*(1-Assumptions!$C$117*Assumptions!$F$169))</f>
        <v>12.5654261814598</v>
      </c>
      <c r="AB84" s="69" t="n">
        <f aca="false">IF(AB$5="A",Inputs_Actuals!AB67,AA84*(1-Assumptions!$C$117*Assumptions!$F$169))</f>
        <v>12.3015522316491</v>
      </c>
    </row>
    <row r="85" customFormat="false" ht="15" hidden="false" customHeight="false" outlineLevel="0" collapsed="false">
      <c r="A85" s="28" t="s">
        <v>897</v>
      </c>
      <c r="B85" s="63" t="s">
        <v>923</v>
      </c>
      <c r="C85" s="68" t="n">
        <f aca="false">P85</f>
        <v>21.159546228504</v>
      </c>
      <c r="D85" s="68" t="n">
        <f aca="false">AB85</f>
        <v>16.234530626446</v>
      </c>
      <c r="E85" s="69" t="n">
        <f aca="false">IF(E$5="A",Inputs_Actuals!E68,New_Business!E9)</f>
        <v>31</v>
      </c>
      <c r="F85" s="69" t="n">
        <f aca="false">IF(F$5="A",Inputs_Actuals!F68,E85*(1-Assumptions!$C$113*Assumptions!$F$169))</f>
        <v>29</v>
      </c>
      <c r="G85" s="69" t="n">
        <f aca="false">IF(G$5="A",Inputs_Actuals!G68,F85*(1-Assumptions!$C$113*Assumptions!$F$169))</f>
        <v>29</v>
      </c>
      <c r="H85" s="69" t="n">
        <f aca="false">IF(H$5="A",Inputs_Actuals!H68,G85*(1-Assumptions!$C$113*Assumptions!$F$169))</f>
        <v>27</v>
      </c>
      <c r="I85" s="69" t="n">
        <f aca="false">IF(I$5="A",Inputs_Actuals!I68,H85*(1-Assumptions!$C$115*Assumptions!$F$169))</f>
        <v>26</v>
      </c>
      <c r="J85" s="69" t="n">
        <f aca="false">IF(J$5="A",Inputs_Actuals!J68,I85*(1-Assumptions!$C$115*Assumptions!$F$169))</f>
        <v>24</v>
      </c>
      <c r="K85" s="69" t="n">
        <f aca="false">IF(K$5="A",Inputs_Actuals!K68,J85*(1-Assumptions!$C$115*Assumptions!$F$169))</f>
        <v>24</v>
      </c>
      <c r="L85" s="69" t="n">
        <f aca="false">IF(L$5="A",Inputs_Actuals!L68,K85*(1-Assumptions!$C$115*Assumptions!$F$169))</f>
        <v>24</v>
      </c>
      <c r="M85" s="69" t="n">
        <f aca="false">IF(M$5="A",Inputs_Actuals!M68,L85*(1-Assumptions!$C$115*Assumptions!$F$169))</f>
        <v>23.256</v>
      </c>
      <c r="N85" s="69" t="n">
        <f aca="false">IF(N$5="A",Inputs_Actuals!N68,M85*(1-Assumptions!$C$115*Assumptions!$F$169))</f>
        <v>22.535064</v>
      </c>
      <c r="O85" s="69" t="n">
        <f aca="false">IF(O$5="A",Inputs_Actuals!O68,N85*(1-Assumptions!$C$115*Assumptions!$F$169))</f>
        <v>21.836477016</v>
      </c>
      <c r="P85" s="69" t="n">
        <f aca="false">IF(P$5="A",Inputs_Actuals!P68,O85*(1-Assumptions!$C$115*Assumptions!$F$169))</f>
        <v>21.159546228504</v>
      </c>
      <c r="Q85" s="69" t="n">
        <f aca="false">IF(Q$5="A",Inputs_Actuals!Q68,P85*(1-Assumptions!$C$115*Assumptions!$F$169))</f>
        <v>20.5036002954204</v>
      </c>
      <c r="R85" s="69" t="n">
        <f aca="false">IF(R$5="A",Inputs_Actuals!R68,Q85*(1-Assumptions!$C$117*Assumptions!$F$169))</f>
        <v>20.0730246892165</v>
      </c>
      <c r="S85" s="69" t="n">
        <f aca="false">IF(S$5="A",Inputs_Actuals!S68,R85*(1-Assumptions!$C$117*Assumptions!$F$169))</f>
        <v>19.651491170743</v>
      </c>
      <c r="T85" s="69" t="n">
        <f aca="false">IF(T$5="A",Inputs_Actuals!T68,S85*(1-Assumptions!$C$117*Assumptions!$F$169))</f>
        <v>19.2388098561574</v>
      </c>
      <c r="U85" s="69" t="n">
        <f aca="false">IF(U$5="A",Inputs_Actuals!U68,T85*(1-Assumptions!$C$117*Assumptions!$F$169))</f>
        <v>18.8347948491781</v>
      </c>
      <c r="V85" s="69" t="n">
        <f aca="false">IF(V$5="A",Inputs_Actuals!V68,U85*(1-Assumptions!$C$117*Assumptions!$F$169))</f>
        <v>18.4392641573453</v>
      </c>
      <c r="W85" s="69" t="n">
        <f aca="false">IF(W$5="A",Inputs_Actuals!W68,V85*(1-Assumptions!$C$117*Assumptions!$F$169))</f>
        <v>18.0520396100411</v>
      </c>
      <c r="X85" s="69" t="n">
        <f aca="false">IF(X$5="A",Inputs_Actuals!X68,W85*(1-Assumptions!$C$117*Assumptions!$F$169))</f>
        <v>17.6729467782302</v>
      </c>
      <c r="Y85" s="69" t="n">
        <f aca="false">IF(Y$5="A",Inputs_Actuals!Y68,X85*(1-Assumptions!$C$117*Assumptions!$F$169))</f>
        <v>17.3018148958874</v>
      </c>
      <c r="Z85" s="69" t="n">
        <f aca="false">IF(Z$5="A",Inputs_Actuals!Z68,Y85*(1-Assumptions!$C$117*Assumptions!$F$169))</f>
        <v>16.9384767830738</v>
      </c>
      <c r="AA85" s="69" t="n">
        <f aca="false">IF(AA$5="A",Inputs_Actuals!AA68,Z85*(1-Assumptions!$C$117*Assumptions!$F$169))</f>
        <v>16.5827687706292</v>
      </c>
      <c r="AB85" s="69" t="n">
        <f aca="false">IF(AB$5="A",Inputs_Actuals!AB68,AA85*(1-Assumptions!$C$117*Assumptions!$F$169))</f>
        <v>16.234530626446</v>
      </c>
    </row>
    <row r="86" customFormat="false" ht="15" hidden="false" customHeight="false" outlineLevel="0" collapsed="false">
      <c r="A86" s="28" t="s">
        <v>898</v>
      </c>
      <c r="B86" s="63" t="s">
        <v>923</v>
      </c>
      <c r="C86" s="68" t="n">
        <f aca="false">P86</f>
        <v>22.041193988025</v>
      </c>
      <c r="D86" s="68" t="n">
        <f aca="false">AB86</f>
        <v>16.7382322278539</v>
      </c>
      <c r="E86" s="80" t="n">
        <f aca="false">0</f>
        <v>0</v>
      </c>
      <c r="F86" s="69" t="n">
        <f aca="false">IF(F$5="A",Inputs_Actuals!F69,New_Business!F9)</f>
        <v>35</v>
      </c>
      <c r="G86" s="69" t="n">
        <f aca="false">IF(G$5="A",Inputs_Actuals!G69,F86*(1-Assumptions!$C$113*Assumptions!$F$169))</f>
        <v>33</v>
      </c>
      <c r="H86" s="69" t="n">
        <f aca="false">IF(H$5="A",Inputs_Actuals!H69,G86*(1-Assumptions!$C$113*Assumptions!$F$169))</f>
        <v>32</v>
      </c>
      <c r="I86" s="69" t="n">
        <f aca="false">IF(I$5="A",Inputs_Actuals!I69,H86*(1-Assumptions!$C$113*Assumptions!$F$169))</f>
        <v>32</v>
      </c>
      <c r="J86" s="69" t="n">
        <f aca="false">IF(J$5="A",Inputs_Actuals!J69,I86*(1-Assumptions!$C$115*Assumptions!$F$169))</f>
        <v>28</v>
      </c>
      <c r="K86" s="69" t="n">
        <f aca="false">IF(K$5="A",Inputs_Actuals!K69,J86*(1-Assumptions!$C$115*Assumptions!$F$169))</f>
        <v>26</v>
      </c>
      <c r="L86" s="69" t="n">
        <f aca="false">IF(L$5="A",Inputs_Actuals!L69,K86*(1-Assumptions!$C$115*Assumptions!$F$169))</f>
        <v>25</v>
      </c>
      <c r="M86" s="69" t="n">
        <f aca="false">IF(M$5="A",Inputs_Actuals!M69,L86*(1-Assumptions!$C$115*Assumptions!$F$169))</f>
        <v>24.225</v>
      </c>
      <c r="N86" s="69" t="n">
        <f aca="false">IF(N$5="A",Inputs_Actuals!N69,M86*(1-Assumptions!$C$115*Assumptions!$F$169))</f>
        <v>23.474025</v>
      </c>
      <c r="O86" s="69" t="n">
        <f aca="false">IF(O$5="A",Inputs_Actuals!O69,N86*(1-Assumptions!$C$115*Assumptions!$F$169))</f>
        <v>22.746330225</v>
      </c>
      <c r="P86" s="69" t="n">
        <f aca="false">IF(P$5="A",Inputs_Actuals!P69,O86*(1-Assumptions!$C$115*Assumptions!$F$169))</f>
        <v>22.041193988025</v>
      </c>
      <c r="Q86" s="69" t="n">
        <f aca="false">IF(Q$5="A",Inputs_Actuals!Q69,P86*(1-Assumptions!$C$115*Assumptions!$F$169))</f>
        <v>21.3579169743962</v>
      </c>
      <c r="R86" s="69" t="n">
        <f aca="false">IF(R$5="A",Inputs_Actuals!R69,Q86*(1-Assumptions!$C$115*Assumptions!$F$169))</f>
        <v>20.6958215481899</v>
      </c>
      <c r="S86" s="69" t="n">
        <f aca="false">IF(S$5="A",Inputs_Actuals!S69,R86*(1-Assumptions!$C$117*Assumptions!$F$169))</f>
        <v>20.261209295678</v>
      </c>
      <c r="T86" s="69" t="n">
        <f aca="false">IF(T$5="A",Inputs_Actuals!T69,S86*(1-Assumptions!$C$117*Assumptions!$F$169))</f>
        <v>19.8357239004687</v>
      </c>
      <c r="U86" s="69" t="n">
        <f aca="false">IF(U$5="A",Inputs_Actuals!U69,T86*(1-Assumptions!$C$117*Assumptions!$F$169))</f>
        <v>19.4191736985589</v>
      </c>
      <c r="V86" s="69" t="n">
        <f aca="false">IF(V$5="A",Inputs_Actuals!V69,U86*(1-Assumptions!$C$117*Assumptions!$F$169))</f>
        <v>19.0113710508891</v>
      </c>
      <c r="W86" s="69" t="n">
        <f aca="false">IF(W$5="A",Inputs_Actuals!W69,V86*(1-Assumptions!$C$117*Assumptions!$F$169))</f>
        <v>18.6121322588205</v>
      </c>
      <c r="X86" s="69" t="n">
        <f aca="false">IF(X$5="A",Inputs_Actuals!X69,W86*(1-Assumptions!$C$117*Assumptions!$F$169))</f>
        <v>18.2212774813852</v>
      </c>
      <c r="Y86" s="69" t="n">
        <f aca="false">IF(Y$5="A",Inputs_Actuals!Y69,X86*(1-Assumptions!$C$117*Assumptions!$F$169))</f>
        <v>17.8386306542761</v>
      </c>
      <c r="Z86" s="69" t="n">
        <f aca="false">IF(Z$5="A",Inputs_Actuals!Z69,Y86*(1-Assumptions!$C$117*Assumptions!$F$169))</f>
        <v>17.4640194105363</v>
      </c>
      <c r="AA86" s="69" t="n">
        <f aca="false">IF(AA$5="A",Inputs_Actuals!AA69,Z86*(1-Assumptions!$C$117*Assumptions!$F$169))</f>
        <v>17.0972750029151</v>
      </c>
      <c r="AB86" s="69" t="n">
        <f aca="false">IF(AB$5="A",Inputs_Actuals!AB69,AA86*(1-Assumptions!$C$117*Assumptions!$F$169))</f>
        <v>16.7382322278539</v>
      </c>
    </row>
    <row r="87" customFormat="false" ht="15" hidden="false" customHeight="false" outlineLevel="0" collapsed="false">
      <c r="A87" s="28" t="s">
        <v>899</v>
      </c>
      <c r="B87" s="63" t="s">
        <v>923</v>
      </c>
      <c r="C87" s="68" t="n">
        <f aca="false">P87</f>
        <v>23.804489507067</v>
      </c>
      <c r="D87" s="68" t="n">
        <f aca="false">AB87</f>
        <v>17.8926402360507</v>
      </c>
      <c r="E87" s="80" t="n">
        <f aca="false">0</f>
        <v>0</v>
      </c>
      <c r="F87" s="80" t="n">
        <f aca="false">0</f>
        <v>0</v>
      </c>
      <c r="G87" s="69" t="n">
        <f aca="false">IF(G$5="A",Inputs_Actuals!G70,New_Business!G9)</f>
        <v>35</v>
      </c>
      <c r="H87" s="69" t="n">
        <f aca="false">IF(H$5="A",Inputs_Actuals!H70,G87*(1-Assumptions!$C$113*Assumptions!$F$169))</f>
        <v>33</v>
      </c>
      <c r="I87" s="69" t="n">
        <f aca="false">IF(I$5="A",Inputs_Actuals!I70,H87*(1-Assumptions!$C$113*Assumptions!$F$169))</f>
        <v>31</v>
      </c>
      <c r="J87" s="69" t="n">
        <f aca="false">IF(J$5="A",Inputs_Actuals!J70,I87*(1-Assumptions!$C$113*Assumptions!$F$169))</f>
        <v>28</v>
      </c>
      <c r="K87" s="69" t="n">
        <f aca="false">IF(K$5="A",Inputs_Actuals!K70,J87*(1-Assumptions!$C$115*Assumptions!$F$169))</f>
        <v>27</v>
      </c>
      <c r="L87" s="69" t="n">
        <f aca="false">IF(L$5="A",Inputs_Actuals!L70,K87*(1-Assumptions!$C$115*Assumptions!$F$169))</f>
        <v>27</v>
      </c>
      <c r="M87" s="69" t="n">
        <f aca="false">IF(M$5="A",Inputs_Actuals!M70,L87*(1-Assumptions!$C$115*Assumptions!$F$169))</f>
        <v>26.163</v>
      </c>
      <c r="N87" s="69" t="n">
        <f aca="false">IF(N$5="A",Inputs_Actuals!N70,M87*(1-Assumptions!$C$115*Assumptions!$F$169))</f>
        <v>25.351947</v>
      </c>
      <c r="O87" s="69" t="n">
        <f aca="false">IF(O$5="A",Inputs_Actuals!O70,N87*(1-Assumptions!$C$115*Assumptions!$F$169))</f>
        <v>24.566036643</v>
      </c>
      <c r="P87" s="69" t="n">
        <f aca="false">IF(P$5="A",Inputs_Actuals!P70,O87*(1-Assumptions!$C$115*Assumptions!$F$169))</f>
        <v>23.804489507067</v>
      </c>
      <c r="Q87" s="69" t="n">
        <f aca="false">IF(Q$5="A",Inputs_Actuals!Q70,P87*(1-Assumptions!$C$115*Assumptions!$F$169))</f>
        <v>23.0665503323479</v>
      </c>
      <c r="R87" s="69" t="n">
        <f aca="false">IF(R$5="A",Inputs_Actuals!R70,Q87*(1-Assumptions!$C$115*Assumptions!$F$169))</f>
        <v>22.3514872720451</v>
      </c>
      <c r="S87" s="69" t="n">
        <f aca="false">IF(S$5="A",Inputs_Actuals!S70,R87*(1-Assumptions!$C$115*Assumptions!$F$169))</f>
        <v>21.6585911666117</v>
      </c>
      <c r="T87" s="69" t="n">
        <f aca="false">IF(T$5="A",Inputs_Actuals!T70,S87*(1-Assumptions!$C$117*Assumptions!$F$169))</f>
        <v>21.2037607521129</v>
      </c>
      <c r="U87" s="69" t="n">
        <f aca="false">IF(U$5="A",Inputs_Actuals!U70,T87*(1-Assumptions!$C$117*Assumptions!$F$169))</f>
        <v>20.7584817763185</v>
      </c>
      <c r="V87" s="69" t="n">
        <f aca="false">IF(V$5="A",Inputs_Actuals!V70,U87*(1-Assumptions!$C$117*Assumptions!$F$169))</f>
        <v>20.3225536590158</v>
      </c>
      <c r="W87" s="69" t="n">
        <f aca="false">IF(W$5="A",Inputs_Actuals!W70,V87*(1-Assumptions!$C$117*Assumptions!$F$169))</f>
        <v>19.8957800321765</v>
      </c>
      <c r="X87" s="69" t="n">
        <f aca="false">IF(X$5="A",Inputs_Actuals!X70,W87*(1-Assumptions!$C$117*Assumptions!$F$169))</f>
        <v>19.4779686515008</v>
      </c>
      <c r="Y87" s="69" t="n">
        <f aca="false">IF(Y$5="A",Inputs_Actuals!Y70,X87*(1-Assumptions!$C$117*Assumptions!$F$169))</f>
        <v>19.0689313098193</v>
      </c>
      <c r="Z87" s="69" t="n">
        <f aca="false">IF(Z$5="A",Inputs_Actuals!Z70,Y87*(1-Assumptions!$C$117*Assumptions!$F$169))</f>
        <v>18.6684837523131</v>
      </c>
      <c r="AA87" s="69" t="n">
        <f aca="false">IF(AA$5="A",Inputs_Actuals!AA70,Z87*(1-Assumptions!$C$117*Assumptions!$F$169))</f>
        <v>18.2764455935145</v>
      </c>
      <c r="AB87" s="69" t="n">
        <f aca="false">IF(AB$5="A",Inputs_Actuals!AB70,AA87*(1-Assumptions!$C$117*Assumptions!$F$169))</f>
        <v>17.8926402360507</v>
      </c>
    </row>
    <row r="88" customFormat="false" ht="15" hidden="false" customHeight="false" outlineLevel="0" collapsed="false">
      <c r="A88" s="28" t="s">
        <v>900</v>
      </c>
      <c r="B88" s="63" t="s">
        <v>923</v>
      </c>
      <c r="C88" s="68" t="n">
        <f aca="false">P88</f>
        <v>19.396250709462</v>
      </c>
      <c r="D88" s="68" t="n">
        <f aca="false">AB88</f>
        <v>14.4302691541682</v>
      </c>
      <c r="E88" s="80" t="n">
        <f aca="false">0</f>
        <v>0</v>
      </c>
      <c r="F88" s="80" t="n">
        <f aca="false">0</f>
        <v>0</v>
      </c>
      <c r="G88" s="80" t="n">
        <f aca="false">0</f>
        <v>0</v>
      </c>
      <c r="H88" s="69" t="n">
        <f aca="false">IF(H$5="A",Inputs_Actuals!H71,New_Business!H9)</f>
        <v>29</v>
      </c>
      <c r="I88" s="69" t="n">
        <f aca="false">IF(I$5="A",Inputs_Actuals!I71,H88*(1-Assumptions!$C$113*Assumptions!$F$169))</f>
        <v>27</v>
      </c>
      <c r="J88" s="69" t="n">
        <f aca="false">IF(J$5="A",Inputs_Actuals!J71,I88*(1-Assumptions!$C$113*Assumptions!$F$169))</f>
        <v>26</v>
      </c>
      <c r="K88" s="69" t="n">
        <f aca="false">IF(K$5="A",Inputs_Actuals!K71,J88*(1-Assumptions!$C$113*Assumptions!$F$169))</f>
        <v>24</v>
      </c>
      <c r="L88" s="69" t="n">
        <f aca="false">IF(L$5="A",Inputs_Actuals!L71,K88*(1-Assumptions!$C$115*Assumptions!$F$169))</f>
        <v>22</v>
      </c>
      <c r="M88" s="69" t="n">
        <f aca="false">IF(M$5="A",Inputs_Actuals!M71,L88*(1-Assumptions!$C$115*Assumptions!$F$169))</f>
        <v>21.318</v>
      </c>
      <c r="N88" s="69" t="n">
        <f aca="false">IF(N$5="A",Inputs_Actuals!N71,M88*(1-Assumptions!$C$115*Assumptions!$F$169))</f>
        <v>20.657142</v>
      </c>
      <c r="O88" s="69" t="n">
        <f aca="false">IF(O$5="A",Inputs_Actuals!O71,N88*(1-Assumptions!$C$115*Assumptions!$F$169))</f>
        <v>20.016770598</v>
      </c>
      <c r="P88" s="69" t="n">
        <f aca="false">IF(P$5="A",Inputs_Actuals!P71,O88*(1-Assumptions!$C$115*Assumptions!$F$169))</f>
        <v>19.396250709462</v>
      </c>
      <c r="Q88" s="69" t="n">
        <f aca="false">IF(Q$5="A",Inputs_Actuals!Q71,P88*(1-Assumptions!$C$115*Assumptions!$F$169))</f>
        <v>18.7949669374687</v>
      </c>
      <c r="R88" s="69" t="n">
        <f aca="false">IF(R$5="A",Inputs_Actuals!R71,Q88*(1-Assumptions!$C$115*Assumptions!$F$169))</f>
        <v>18.2123229624071</v>
      </c>
      <c r="S88" s="69" t="n">
        <f aca="false">IF(S$5="A",Inputs_Actuals!S71,R88*(1-Assumptions!$C$115*Assumptions!$F$169))</f>
        <v>17.6477409505725</v>
      </c>
      <c r="T88" s="69" t="n">
        <f aca="false">IF(T$5="A",Inputs_Actuals!T71,S88*(1-Assumptions!$C$115*Assumptions!$F$169))</f>
        <v>17.1006609811048</v>
      </c>
      <c r="U88" s="69" t="n">
        <f aca="false">IF(U$5="A",Inputs_Actuals!U71,T88*(1-Assumptions!$C$117*Assumptions!$F$169))</f>
        <v>16.7415471005016</v>
      </c>
      <c r="V88" s="69" t="n">
        <f aca="false">IF(V$5="A",Inputs_Actuals!V71,U88*(1-Assumptions!$C$117*Assumptions!$F$169))</f>
        <v>16.389974611391</v>
      </c>
      <c r="W88" s="69" t="n">
        <f aca="false">IF(W$5="A",Inputs_Actuals!W71,V88*(1-Assumptions!$C$117*Assumptions!$F$169))</f>
        <v>16.0457851445518</v>
      </c>
      <c r="X88" s="69" t="n">
        <f aca="false">IF(X$5="A",Inputs_Actuals!X71,W88*(1-Assumptions!$C$117*Assumptions!$F$169))</f>
        <v>15.7088236565162</v>
      </c>
      <c r="Y88" s="69" t="n">
        <f aca="false">IF(Y$5="A",Inputs_Actuals!Y71,X88*(1-Assumptions!$C$117*Assumptions!$F$169))</f>
        <v>15.3789383597294</v>
      </c>
      <c r="Z88" s="69" t="n">
        <f aca="false">IF(Z$5="A",Inputs_Actuals!Z71,Y88*(1-Assumptions!$C$117*Assumptions!$F$169))</f>
        <v>15.0559806541751</v>
      </c>
      <c r="AA88" s="69" t="n">
        <f aca="false">IF(AA$5="A",Inputs_Actuals!AA71,Z88*(1-Assumptions!$C$117*Assumptions!$F$169))</f>
        <v>14.7398050604374</v>
      </c>
      <c r="AB88" s="69" t="n">
        <f aca="false">IF(AB$5="A",Inputs_Actuals!AB71,AA88*(1-Assumptions!$C$117*Assumptions!$F$169))</f>
        <v>14.4302691541682</v>
      </c>
    </row>
    <row r="89" customFormat="false" ht="15" hidden="false" customHeight="false" outlineLevel="0" collapsed="false">
      <c r="A89" s="28" t="s">
        <v>901</v>
      </c>
      <c r="B89" s="63" t="s">
        <v>923</v>
      </c>
      <c r="C89" s="68" t="n">
        <f aca="false">P89</f>
        <v>15.869659671378</v>
      </c>
      <c r="D89" s="68" t="n">
        <f aca="false">AB89</f>
        <v>11.6859854483704</v>
      </c>
      <c r="E89" s="80" t="n">
        <f aca="false">0</f>
        <v>0</v>
      </c>
      <c r="F89" s="80" t="n">
        <f aca="false">0</f>
        <v>0</v>
      </c>
      <c r="G89" s="80" t="n">
        <f aca="false">0</f>
        <v>0</v>
      </c>
      <c r="H89" s="80" t="n">
        <f aca="false">0</f>
        <v>0</v>
      </c>
      <c r="I89" s="69" t="n">
        <f aca="false">IF(I$5="A",Inputs_Actuals!I72,New_Business!I9)</f>
        <v>21</v>
      </c>
      <c r="J89" s="69" t="n">
        <f aca="false">IF(J$5="A",Inputs_Actuals!J72,I89*(1-Assumptions!$C$113*Assumptions!$F$169))</f>
        <v>19</v>
      </c>
      <c r="K89" s="69" t="n">
        <f aca="false">IF(K$5="A",Inputs_Actuals!K72,J89*(1-Assumptions!$C$113*Assumptions!$F$169))</f>
        <v>19</v>
      </c>
      <c r="L89" s="69" t="n">
        <f aca="false">IF(L$5="A",Inputs_Actuals!L72,K89*(1-Assumptions!$C$113*Assumptions!$F$169))</f>
        <v>18</v>
      </c>
      <c r="M89" s="69" t="n">
        <f aca="false">IF(M$5="A",Inputs_Actuals!M72,L89*(1-Assumptions!$C$115*Assumptions!$F$169))</f>
        <v>17.442</v>
      </c>
      <c r="N89" s="69" t="n">
        <f aca="false">IF(N$5="A",Inputs_Actuals!N72,M89*(1-Assumptions!$C$115*Assumptions!$F$169))</f>
        <v>16.901298</v>
      </c>
      <c r="O89" s="69" t="n">
        <f aca="false">IF(O$5="A",Inputs_Actuals!O72,N89*(1-Assumptions!$C$115*Assumptions!$F$169))</f>
        <v>16.377357762</v>
      </c>
      <c r="P89" s="69" t="n">
        <f aca="false">IF(P$5="A",Inputs_Actuals!P72,O89*(1-Assumptions!$C$115*Assumptions!$F$169))</f>
        <v>15.869659671378</v>
      </c>
      <c r="Q89" s="69" t="n">
        <f aca="false">IF(Q$5="A",Inputs_Actuals!Q72,P89*(1-Assumptions!$C$115*Assumptions!$F$169))</f>
        <v>15.3777002215653</v>
      </c>
      <c r="R89" s="69" t="n">
        <f aca="false">IF(R$5="A",Inputs_Actuals!R72,Q89*(1-Assumptions!$C$115*Assumptions!$F$169))</f>
        <v>14.9009915146968</v>
      </c>
      <c r="S89" s="69" t="n">
        <f aca="false">IF(S$5="A",Inputs_Actuals!S72,R89*(1-Assumptions!$C$115*Assumptions!$F$169))</f>
        <v>14.4390607777412</v>
      </c>
      <c r="T89" s="69" t="n">
        <f aca="false">IF(T$5="A",Inputs_Actuals!T72,S89*(1-Assumptions!$C$115*Assumptions!$F$169))</f>
        <v>13.9914498936312</v>
      </c>
      <c r="U89" s="69" t="n">
        <f aca="false">IF(U$5="A",Inputs_Actuals!U72,T89*(1-Assumptions!$C$115*Assumptions!$F$169))</f>
        <v>13.5577149469286</v>
      </c>
      <c r="V89" s="69" t="n">
        <f aca="false">IF(V$5="A",Inputs_Actuals!V72,U89*(1-Assumptions!$C$117*Assumptions!$F$169))</f>
        <v>13.2730029330431</v>
      </c>
      <c r="W89" s="69" t="n">
        <f aca="false">IF(W$5="A",Inputs_Actuals!W72,V89*(1-Assumptions!$C$117*Assumptions!$F$169))</f>
        <v>12.9942698714492</v>
      </c>
      <c r="X89" s="69" t="n">
        <f aca="false">IF(X$5="A",Inputs_Actuals!X72,W89*(1-Assumptions!$C$117*Assumptions!$F$169))</f>
        <v>12.7213902041488</v>
      </c>
      <c r="Y89" s="69" t="n">
        <f aca="false">IF(Y$5="A",Inputs_Actuals!Y72,X89*(1-Assumptions!$C$117*Assumptions!$F$169))</f>
        <v>12.4542410098616</v>
      </c>
      <c r="Z89" s="69" t="n">
        <f aca="false">IF(Z$5="A",Inputs_Actuals!Z72,Y89*(1-Assumptions!$C$117*Assumptions!$F$169))</f>
        <v>12.1927019486546</v>
      </c>
      <c r="AA89" s="69" t="n">
        <f aca="false">IF(AA$5="A",Inputs_Actuals!AA72,Z89*(1-Assumptions!$C$117*Assumptions!$F$169))</f>
        <v>11.9366552077328</v>
      </c>
      <c r="AB89" s="69" t="n">
        <f aca="false">IF(AB$5="A",Inputs_Actuals!AB72,AA89*(1-Assumptions!$C$117*Assumptions!$F$169))</f>
        <v>11.6859854483704</v>
      </c>
    </row>
    <row r="90" customFormat="false" ht="15" hidden="false" customHeight="false" outlineLevel="0" collapsed="false">
      <c r="A90" s="28" t="s">
        <v>902</v>
      </c>
      <c r="B90" s="63" t="s">
        <v>923</v>
      </c>
      <c r="C90" s="68" t="n">
        <f aca="false">P90</f>
        <v>25.145613137133</v>
      </c>
      <c r="D90" s="68" t="n">
        <f aca="false">AB90</f>
        <v>18.3274077764506</v>
      </c>
      <c r="E90" s="80" t="n">
        <f aca="false">0</f>
        <v>0</v>
      </c>
      <c r="F90" s="80" t="n">
        <f aca="false">0</f>
        <v>0</v>
      </c>
      <c r="G90" s="80" t="n">
        <f aca="false">0</f>
        <v>0</v>
      </c>
      <c r="H90" s="80" t="n">
        <f aca="false">0</f>
        <v>0</v>
      </c>
      <c r="I90" s="80" t="n">
        <f aca="false">0</f>
        <v>0</v>
      </c>
      <c r="J90" s="69" t="n">
        <f aca="false">IF(J$5="A",Inputs_Actuals!J73,New_Business!J9)</f>
        <v>32</v>
      </c>
      <c r="K90" s="69" t="n">
        <f aca="false">IF(K$5="A",Inputs_Actuals!K73,J90*(1-Assumptions!$C$113*Assumptions!$F$169))</f>
        <v>31</v>
      </c>
      <c r="L90" s="69" t="n">
        <f aca="false">IF(L$5="A",Inputs_Actuals!L73,K90*(1-Assumptions!$C$113*Assumptions!$F$169))</f>
        <v>29</v>
      </c>
      <c r="M90" s="69" t="n">
        <f aca="false">IF(M$5="A",Inputs_Actuals!M73,L90*(1-Assumptions!$C$113*Assumptions!$F$169))</f>
        <v>27.637</v>
      </c>
      <c r="N90" s="69" t="n">
        <f aca="false">IF(N$5="A",Inputs_Actuals!N73,M90*(1-Assumptions!$C$115*Assumptions!$F$169))</f>
        <v>26.780253</v>
      </c>
      <c r="O90" s="69" t="n">
        <f aca="false">IF(O$5="A",Inputs_Actuals!O73,N90*(1-Assumptions!$C$115*Assumptions!$F$169))</f>
        <v>25.950065157</v>
      </c>
      <c r="P90" s="69" t="n">
        <f aca="false">IF(P$5="A",Inputs_Actuals!P73,O90*(1-Assumptions!$C$115*Assumptions!$F$169))</f>
        <v>25.145613137133</v>
      </c>
      <c r="Q90" s="69" t="n">
        <f aca="false">IF(Q$5="A",Inputs_Actuals!Q73,P90*(1-Assumptions!$C$115*Assumptions!$F$169))</f>
        <v>24.3660991298819</v>
      </c>
      <c r="R90" s="69" t="n">
        <f aca="false">IF(R$5="A",Inputs_Actuals!R73,Q90*(1-Assumptions!$C$115*Assumptions!$F$169))</f>
        <v>23.6107500568555</v>
      </c>
      <c r="S90" s="69" t="n">
        <f aca="false">IF(S$5="A",Inputs_Actuals!S73,R90*(1-Assumptions!$C$115*Assumptions!$F$169))</f>
        <v>22.878816805093</v>
      </c>
      <c r="T90" s="69" t="n">
        <f aca="false">IF(T$5="A",Inputs_Actuals!T73,S90*(1-Assumptions!$C$115*Assumptions!$F$169))</f>
        <v>22.1695734841351</v>
      </c>
      <c r="U90" s="69" t="n">
        <f aca="false">IF(U$5="A",Inputs_Actuals!U73,T90*(1-Assumptions!$C$115*Assumptions!$F$169))</f>
        <v>21.4823167061269</v>
      </c>
      <c r="V90" s="69" t="n">
        <f aca="false">IF(V$5="A",Inputs_Actuals!V73,U90*(1-Assumptions!$C$115*Assumptions!$F$169))</f>
        <v>20.816364888237</v>
      </c>
      <c r="W90" s="69" t="n">
        <f aca="false">IF(W$5="A",Inputs_Actuals!W73,V90*(1-Assumptions!$C$117*Assumptions!$F$169))</f>
        <v>20.379221225584</v>
      </c>
      <c r="X90" s="69" t="n">
        <f aca="false">IF(X$5="A",Inputs_Actuals!X73,W90*(1-Assumptions!$C$117*Assumptions!$F$169))</f>
        <v>19.9512575798468</v>
      </c>
      <c r="Y90" s="69" t="n">
        <f aca="false">IF(Y$5="A",Inputs_Actuals!Y73,X90*(1-Assumptions!$C$117*Assumptions!$F$169))</f>
        <v>19.53228117067</v>
      </c>
      <c r="Z90" s="69" t="n">
        <f aca="false">IF(Z$5="A",Inputs_Actuals!Z73,Y90*(1-Assumptions!$C$117*Assumptions!$F$169))</f>
        <v>19.1221032660859</v>
      </c>
      <c r="AA90" s="69" t="n">
        <f aca="false">IF(AA$5="A",Inputs_Actuals!AA73,Z90*(1-Assumptions!$C$117*Assumptions!$F$169))</f>
        <v>18.7205390974981</v>
      </c>
      <c r="AB90" s="69" t="n">
        <f aca="false">IF(AB$5="A",Inputs_Actuals!AB73,AA90*(1-Assumptions!$C$117*Assumptions!$F$169))</f>
        <v>18.3274077764506</v>
      </c>
    </row>
    <row r="91" customFormat="false" ht="15" hidden="false" customHeight="false" outlineLevel="0" collapsed="false">
      <c r="A91" s="28" t="s">
        <v>903</v>
      </c>
      <c r="B91" s="63" t="s">
        <v>923</v>
      </c>
      <c r="C91" s="68" t="n">
        <f aca="false">P91</f>
        <v>25.58318492547</v>
      </c>
      <c r="D91" s="68" t="n">
        <f aca="false">AB91</f>
        <v>18.4558694068093</v>
      </c>
      <c r="E91" s="80" t="n">
        <f aca="false">0</f>
        <v>0</v>
      </c>
      <c r="F91" s="80" t="n">
        <f aca="false">0</f>
        <v>0</v>
      </c>
      <c r="G91" s="80" t="n">
        <f aca="false">0</f>
        <v>0</v>
      </c>
      <c r="H91" s="80" t="n">
        <f aca="false">0</f>
        <v>0</v>
      </c>
      <c r="I91" s="80" t="n">
        <f aca="false">0</f>
        <v>0</v>
      </c>
      <c r="J91" s="80" t="n">
        <f aca="false">0</f>
        <v>0</v>
      </c>
      <c r="K91" s="69" t="n">
        <f aca="false">IF(K$5="A",Inputs_Actuals!K74,New_Business!K9)</f>
        <v>34</v>
      </c>
      <c r="L91" s="69" t="n">
        <f aca="false">IF(L$5="A",Inputs_Actuals!L74,K91*(1-Assumptions!$C$113*Assumptions!$F$169))</f>
        <v>30</v>
      </c>
      <c r="M91" s="69" t="n">
        <f aca="false">IF(M$5="A",Inputs_Actuals!M74,L91*(1-Assumptions!$C$113*Assumptions!$F$169))</f>
        <v>28.59</v>
      </c>
      <c r="N91" s="69" t="n">
        <f aca="false">IF(N$5="A",Inputs_Actuals!N74,M91*(1-Assumptions!$C$113*Assumptions!$F$169))</f>
        <v>27.24627</v>
      </c>
      <c r="O91" s="69" t="n">
        <f aca="false">IF(O$5="A",Inputs_Actuals!O74,N91*(1-Assumptions!$C$115*Assumptions!$F$169))</f>
        <v>26.40163563</v>
      </c>
      <c r="P91" s="69" t="n">
        <f aca="false">IF(P$5="A",Inputs_Actuals!P74,O91*(1-Assumptions!$C$115*Assumptions!$F$169))</f>
        <v>25.58318492547</v>
      </c>
      <c r="Q91" s="69" t="n">
        <f aca="false">IF(Q$5="A",Inputs_Actuals!Q74,P91*(1-Assumptions!$C$115*Assumptions!$F$169))</f>
        <v>24.7901061927804</v>
      </c>
      <c r="R91" s="69" t="n">
        <f aca="false">IF(R$5="A",Inputs_Actuals!R74,Q91*(1-Assumptions!$C$115*Assumptions!$F$169))</f>
        <v>24.0216129008042</v>
      </c>
      <c r="S91" s="69" t="n">
        <f aca="false">IF(S$5="A",Inputs_Actuals!S74,R91*(1-Assumptions!$C$115*Assumptions!$F$169))</f>
        <v>23.2769429008793</v>
      </c>
      <c r="T91" s="69" t="n">
        <f aca="false">IF(T$5="A",Inputs_Actuals!T74,S91*(1-Assumptions!$C$115*Assumptions!$F$169))</f>
        <v>22.555357670952</v>
      </c>
      <c r="U91" s="69" t="n">
        <f aca="false">IF(U$5="A",Inputs_Actuals!U74,T91*(1-Assumptions!$C$115*Assumptions!$F$169))</f>
        <v>21.8561415831525</v>
      </c>
      <c r="V91" s="69" t="n">
        <f aca="false">IF(V$5="A",Inputs_Actuals!V74,U91*(1-Assumptions!$C$115*Assumptions!$F$169))</f>
        <v>21.1786011940748</v>
      </c>
      <c r="W91" s="69" t="n">
        <f aca="false">IF(W$5="A",Inputs_Actuals!W74,V91*(1-Assumptions!$C$115*Assumptions!$F$169))</f>
        <v>20.5220645570585</v>
      </c>
      <c r="X91" s="69" t="n">
        <f aca="false">IF(X$5="A",Inputs_Actuals!X74,W91*(1-Assumptions!$C$117*Assumptions!$F$169))</f>
        <v>20.0911012013603</v>
      </c>
      <c r="Y91" s="69" t="n">
        <f aca="false">IF(Y$5="A",Inputs_Actuals!Y74,X91*(1-Assumptions!$C$117*Assumptions!$F$169))</f>
        <v>19.6691880761317</v>
      </c>
      <c r="Z91" s="69" t="n">
        <f aca="false">IF(Z$5="A",Inputs_Actuals!Z74,Y91*(1-Assumptions!$C$117*Assumptions!$F$169))</f>
        <v>19.2561351265329</v>
      </c>
      <c r="AA91" s="69" t="n">
        <f aca="false">IF(AA$5="A",Inputs_Actuals!AA74,Z91*(1-Assumptions!$C$117*Assumptions!$F$169))</f>
        <v>18.8517562888757</v>
      </c>
      <c r="AB91" s="69" t="n">
        <f aca="false">IF(AB$5="A",Inputs_Actuals!AB74,AA91*(1-Assumptions!$C$117*Assumptions!$F$169))</f>
        <v>18.4558694068093</v>
      </c>
    </row>
    <row r="92" customFormat="false" ht="15" hidden="false" customHeight="false" outlineLevel="0" collapsed="false">
      <c r="A92" s="28" t="s">
        <v>904</v>
      </c>
      <c r="B92" s="63" t="s">
        <v>923</v>
      </c>
      <c r="C92" s="68" t="n">
        <f aca="false">P92</f>
        <v>17.612531128773</v>
      </c>
      <c r="D92" s="68" t="n">
        <f aca="false">AB92</f>
        <v>12.576006620309</v>
      </c>
      <c r="E92" s="80" t="n">
        <f aca="false">0</f>
        <v>0</v>
      </c>
      <c r="F92" s="80" t="n">
        <f aca="false">0</f>
        <v>0</v>
      </c>
      <c r="G92" s="80" t="n">
        <f aca="false">0</f>
        <v>0</v>
      </c>
      <c r="H92" s="80" t="n">
        <f aca="false">0</f>
        <v>0</v>
      </c>
      <c r="I92" s="80" t="n">
        <f aca="false">0</f>
        <v>0</v>
      </c>
      <c r="J92" s="80" t="n">
        <f aca="false">0</f>
        <v>0</v>
      </c>
      <c r="K92" s="80" t="n">
        <f aca="false">0</f>
        <v>0</v>
      </c>
      <c r="L92" s="69" t="n">
        <f aca="false">IF(L$5="A",Inputs_Actuals!L75,New_Business!L9)</f>
        <v>21</v>
      </c>
      <c r="M92" s="69" t="n">
        <f aca="false">IF(M$5="A",Inputs_Actuals!M75,L92*(1-Assumptions!$C$113*Assumptions!$F$169))</f>
        <v>20.013</v>
      </c>
      <c r="N92" s="69" t="n">
        <f aca="false">IF(N$5="A",Inputs_Actuals!N75,M92*(1-Assumptions!$C$113*Assumptions!$F$169))</f>
        <v>19.072389</v>
      </c>
      <c r="O92" s="69" t="n">
        <f aca="false">IF(O$5="A",Inputs_Actuals!O75,N92*(1-Assumptions!$C$113*Assumptions!$F$169))</f>
        <v>18.175986717</v>
      </c>
      <c r="P92" s="69" t="n">
        <f aca="false">IF(P$5="A",Inputs_Actuals!P75,O92*(1-Assumptions!$C$115*Assumptions!$F$169))</f>
        <v>17.612531128773</v>
      </c>
      <c r="Q92" s="69" t="n">
        <f aca="false">IF(Q$5="A",Inputs_Actuals!Q75,P92*(1-Assumptions!$C$115*Assumptions!$F$169))</f>
        <v>17.066542663781</v>
      </c>
      <c r="R92" s="69" t="n">
        <f aca="false">IF(R$5="A",Inputs_Actuals!R75,Q92*(1-Assumptions!$C$115*Assumptions!$F$169))</f>
        <v>16.5374798412038</v>
      </c>
      <c r="S92" s="69" t="n">
        <f aca="false">IF(S$5="A",Inputs_Actuals!S75,R92*(1-Assumptions!$C$115*Assumptions!$F$169))</f>
        <v>16.0248179661265</v>
      </c>
      <c r="T92" s="69" t="n">
        <f aca="false">IF(T$5="A",Inputs_Actuals!T75,S92*(1-Assumptions!$C$115*Assumptions!$F$169))</f>
        <v>15.5280486091766</v>
      </c>
      <c r="U92" s="69" t="n">
        <f aca="false">IF(U$5="A",Inputs_Actuals!U75,T92*(1-Assumptions!$C$115*Assumptions!$F$169))</f>
        <v>15.0466791022921</v>
      </c>
      <c r="V92" s="69" t="n">
        <f aca="false">IF(V$5="A",Inputs_Actuals!V75,U92*(1-Assumptions!$C$115*Assumptions!$F$169))</f>
        <v>14.580232050121</v>
      </c>
      <c r="W92" s="69" t="n">
        <f aca="false">IF(W$5="A",Inputs_Actuals!W75,V92*(1-Assumptions!$C$115*Assumptions!$F$169))</f>
        <v>14.1282448565673</v>
      </c>
      <c r="X92" s="69" t="n">
        <f aca="false">IF(X$5="A",Inputs_Actuals!X75,W92*(1-Assumptions!$C$115*Assumptions!$F$169))</f>
        <v>13.6902692660137</v>
      </c>
      <c r="Y92" s="69" t="n">
        <f aca="false">IF(Y$5="A",Inputs_Actuals!Y75,X92*(1-Assumptions!$C$117*Assumptions!$F$169))</f>
        <v>13.4027736114274</v>
      </c>
      <c r="Z92" s="69" t="n">
        <f aca="false">IF(Z$5="A",Inputs_Actuals!Z75,Y92*(1-Assumptions!$C$117*Assumptions!$F$169))</f>
        <v>13.1213153655874</v>
      </c>
      <c r="AA92" s="69" t="n">
        <f aca="false">IF(AA$5="A",Inputs_Actuals!AA75,Z92*(1-Assumptions!$C$117*Assumptions!$F$169))</f>
        <v>12.8457677429101</v>
      </c>
      <c r="AB92" s="69" t="n">
        <f aca="false">IF(AB$5="A",Inputs_Actuals!AB75,AA92*(1-Assumptions!$C$117*Assumptions!$F$169))</f>
        <v>12.576006620309</v>
      </c>
    </row>
    <row r="93" customFormat="false" ht="15" hidden="false" customHeight="false" outlineLevel="0" collapsed="false">
      <c r="A93" s="28" t="s">
        <v>905</v>
      </c>
      <c r="B93" s="63" t="s">
        <v>923</v>
      </c>
      <c r="C93" s="68" t="n">
        <f aca="false">P93</f>
        <v>28.279238762121</v>
      </c>
      <c r="D93" s="68" t="n">
        <f aca="false">AB93</f>
        <v>19.9861794982906</v>
      </c>
      <c r="E93" s="80" t="n">
        <f aca="false">0</f>
        <v>0</v>
      </c>
      <c r="F93" s="80" t="n">
        <f aca="false">0</f>
        <v>0</v>
      </c>
      <c r="G93" s="80" t="n">
        <f aca="false">0</f>
        <v>0</v>
      </c>
      <c r="H93" s="80" t="n">
        <f aca="false">0</f>
        <v>0</v>
      </c>
      <c r="I93" s="80" t="n">
        <f aca="false">0</f>
        <v>0</v>
      </c>
      <c r="J93" s="80" t="n">
        <f aca="false">0</f>
        <v>0</v>
      </c>
      <c r="K93" s="80" t="n">
        <f aca="false">0</f>
        <v>0</v>
      </c>
      <c r="L93" s="80" t="n">
        <f aca="false">0</f>
        <v>0</v>
      </c>
      <c r="M93" s="69" t="n">
        <f aca="false">IF(M$5="A",0,New_Business!M9)</f>
        <v>32.673</v>
      </c>
      <c r="N93" s="69" t="n">
        <f aca="false">IF(N$5="A",0,M93*(1-Assumptions!$C$113*Assumptions!$F$169))</f>
        <v>31.137369</v>
      </c>
      <c r="O93" s="69" t="n">
        <f aca="false">IF(O$5="A",0,N93*(1-Assumptions!$C$113*Assumptions!$F$169))</f>
        <v>29.673912657</v>
      </c>
      <c r="P93" s="69" t="n">
        <f aca="false">IF(P$5="A",0,O93*(1-Assumptions!$C$113*Assumptions!$F$169))</f>
        <v>28.279238762121</v>
      </c>
      <c r="Q93" s="69" t="n">
        <f aca="false">IF(Q$5="A",0,P93*(1-Assumptions!$C$115*Assumptions!$F$169))</f>
        <v>27.4025823604952</v>
      </c>
      <c r="R93" s="69" t="n">
        <f aca="false">IF(R$5="A",0,Q93*(1-Assumptions!$C$115*Assumptions!$F$169))</f>
        <v>26.5531023073199</v>
      </c>
      <c r="S93" s="69" t="n">
        <f aca="false">IF(S$5="A",0,R93*(1-Assumptions!$C$115*Assumptions!$F$169))</f>
        <v>25.729956135793</v>
      </c>
      <c r="T93" s="69" t="n">
        <f aca="false">IF(T$5="A",0,S93*(1-Assumptions!$C$115*Assumptions!$F$169))</f>
        <v>24.9323274955834</v>
      </c>
      <c r="U93" s="69" t="n">
        <f aca="false">IF(U$5="A",0,T93*(1-Assumptions!$C$115*Assumptions!$F$169))</f>
        <v>24.1594253432203</v>
      </c>
      <c r="V93" s="69" t="n">
        <f aca="false">IF(V$5="A",0,U93*(1-Assumptions!$C$115*Assumptions!$F$169))</f>
        <v>23.4104831575805</v>
      </c>
      <c r="W93" s="69" t="n">
        <f aca="false">IF(W$5="A",0,V93*(1-Assumptions!$C$115*Assumptions!$F$169))</f>
        <v>22.6847581796955</v>
      </c>
      <c r="X93" s="69" t="n">
        <f aca="false">IF(X$5="A",0,W93*(1-Assumptions!$C$115*Assumptions!$F$169))</f>
        <v>21.9815306761249</v>
      </c>
      <c r="Y93" s="69" t="n">
        <f aca="false">IF(Y$5="A",0,X93*(1-Assumptions!$C$115*Assumptions!$F$169))</f>
        <v>21.3001032251651</v>
      </c>
      <c r="Z93" s="69" t="n">
        <f aca="false">IF(Z$5="A",0,Y93*(1-Assumptions!$C$117*Assumptions!$F$169))</f>
        <v>20.8528010574366</v>
      </c>
      <c r="AA93" s="69" t="n">
        <f aca="false">IF(AA$5="A",0,Z93*(1-Assumptions!$C$117*Assumptions!$F$169))</f>
        <v>20.4148922352304</v>
      </c>
      <c r="AB93" s="69" t="n">
        <f aca="false">IF(AB$5="A",0,AA93*(1-Assumptions!$C$117*Assumptions!$F$169))</f>
        <v>19.9861794982906</v>
      </c>
    </row>
    <row r="94" customFormat="false" ht="15" hidden="false" customHeight="false" outlineLevel="0" collapsed="false">
      <c r="A94" s="28" t="s">
        <v>906</v>
      </c>
      <c r="B94" s="63" t="s">
        <v>923</v>
      </c>
      <c r="C94" s="68" t="n">
        <f aca="false">P94</f>
        <v>30.771937338</v>
      </c>
      <c r="D94" s="68" t="n">
        <f aca="false">AB94</f>
        <v>21.1703051055635</v>
      </c>
      <c r="E94" s="80" t="n">
        <f aca="false">0</f>
        <v>0</v>
      </c>
      <c r="F94" s="80" t="n">
        <f aca="false">0</f>
        <v>0</v>
      </c>
      <c r="G94" s="80" t="n">
        <f aca="false">0</f>
        <v>0</v>
      </c>
      <c r="H94" s="80" t="n">
        <f aca="false">0</f>
        <v>0</v>
      </c>
      <c r="I94" s="80" t="n">
        <f aca="false">0</f>
        <v>0</v>
      </c>
      <c r="J94" s="80" t="n">
        <f aca="false">0</f>
        <v>0</v>
      </c>
      <c r="K94" s="80" t="n">
        <f aca="false">0</f>
        <v>0</v>
      </c>
      <c r="L94" s="80" t="n">
        <f aca="false">0</f>
        <v>0</v>
      </c>
      <c r="M94" s="80" t="n">
        <f aca="false">0</f>
        <v>0</v>
      </c>
      <c r="N94" s="69" t="n">
        <f aca="false">IF(N$5="A",0,New_Business!N9)</f>
        <v>33.882</v>
      </c>
      <c r="O94" s="69" t="n">
        <f aca="false">IF(O$5="A",0,N94*(1-Assumptions!$C$113*Assumptions!$F$169))</f>
        <v>32.289546</v>
      </c>
      <c r="P94" s="69" t="n">
        <f aca="false">IF(P$5="A",0,O94*(1-Assumptions!$C$113*Assumptions!$F$169))</f>
        <v>30.771937338</v>
      </c>
      <c r="Q94" s="69" t="n">
        <f aca="false">IF(Q$5="A",0,P94*(1-Assumptions!$C$113*Assumptions!$F$169))</f>
        <v>29.325656283114</v>
      </c>
      <c r="R94" s="69" t="n">
        <f aca="false">IF(R$5="A",0,Q94*(1-Assumptions!$C$115*Assumptions!$F$169))</f>
        <v>28.4165609383375</v>
      </c>
      <c r="S94" s="69" t="n">
        <f aca="false">IF(S$5="A",0,R94*(1-Assumptions!$C$115*Assumptions!$F$169))</f>
        <v>27.535647549249</v>
      </c>
      <c r="T94" s="69" t="n">
        <f aca="false">IF(T$5="A",0,S94*(1-Assumptions!$C$115*Assumptions!$F$169))</f>
        <v>26.6820424752223</v>
      </c>
      <c r="U94" s="69" t="n">
        <f aca="false">IF(U$5="A",0,T94*(1-Assumptions!$C$115*Assumptions!$F$169))</f>
        <v>25.8548991584904</v>
      </c>
      <c r="V94" s="69" t="n">
        <f aca="false">IF(V$5="A",0,U94*(1-Assumptions!$C$115*Assumptions!$F$169))</f>
        <v>25.0533972845772</v>
      </c>
      <c r="W94" s="69" t="n">
        <f aca="false">IF(W$5="A",0,V94*(1-Assumptions!$C$115*Assumptions!$F$169))</f>
        <v>24.2767419687553</v>
      </c>
      <c r="X94" s="69" t="n">
        <f aca="false">IF(X$5="A",0,W94*(1-Assumptions!$C$115*Assumptions!$F$169))</f>
        <v>23.5241629677239</v>
      </c>
      <c r="Y94" s="69" t="n">
        <f aca="false">IF(Y$5="A",0,X94*(1-Assumptions!$C$115*Assumptions!$F$169))</f>
        <v>22.7949139157244</v>
      </c>
      <c r="Z94" s="69" t="n">
        <f aca="false">IF(Z$5="A",0,Y94*(1-Assumptions!$C$115*Assumptions!$F$169))</f>
        <v>22.088271584337</v>
      </c>
      <c r="AA94" s="69" t="n">
        <f aca="false">IF(AA$5="A",0,Z94*(1-Assumptions!$C$117*Assumptions!$F$169))</f>
        <v>21.6244178810659</v>
      </c>
      <c r="AB94" s="69" t="n">
        <f aca="false">IF(AB$5="A",0,AA94*(1-Assumptions!$C$117*Assumptions!$F$169))</f>
        <v>21.1703051055635</v>
      </c>
    </row>
    <row r="95" customFormat="false" ht="15" hidden="false" customHeight="false" outlineLevel="0" collapsed="false">
      <c r="A95" s="28" t="s">
        <v>907</v>
      </c>
      <c r="B95" s="63" t="s">
        <v>923</v>
      </c>
      <c r="C95" s="68" t="n">
        <f aca="false">P95</f>
        <v>29.407674</v>
      </c>
      <c r="D95" s="68" t="n">
        <f aca="false">AB95</f>
        <v>19.6944184810204</v>
      </c>
      <c r="E95" s="80" t="n">
        <f aca="false">0</f>
        <v>0</v>
      </c>
      <c r="F95" s="80" t="n">
        <f aca="false">0</f>
        <v>0</v>
      </c>
      <c r="G95" s="80" t="n">
        <f aca="false">0</f>
        <v>0</v>
      </c>
      <c r="H95" s="80" t="n">
        <f aca="false">0</f>
        <v>0</v>
      </c>
      <c r="I95" s="80" t="n">
        <f aca="false">0</f>
        <v>0</v>
      </c>
      <c r="J95" s="80" t="n">
        <f aca="false">0</f>
        <v>0</v>
      </c>
      <c r="K95" s="80" t="n">
        <f aca="false">0</f>
        <v>0</v>
      </c>
      <c r="L95" s="80" t="n">
        <f aca="false">0</f>
        <v>0</v>
      </c>
      <c r="M95" s="80" t="n">
        <f aca="false">0</f>
        <v>0</v>
      </c>
      <c r="N95" s="80" t="n">
        <f aca="false">0</f>
        <v>0</v>
      </c>
      <c r="O95" s="69" t="n">
        <f aca="false">IF(O$5="A",0,New_Business!O9)</f>
        <v>30.858</v>
      </c>
      <c r="P95" s="69" t="n">
        <f aca="false">IF(P$5="A",0,O95*(1-Assumptions!$C$113*Assumptions!$F$169))</f>
        <v>29.407674</v>
      </c>
      <c r="Q95" s="69" t="n">
        <f aca="false">IF(Q$5="A",0,P95*(1-Assumptions!$C$113*Assumptions!$F$169))</f>
        <v>28.025513322</v>
      </c>
      <c r="R95" s="69" t="n">
        <f aca="false">IF(R$5="A",0,Q95*(1-Assumptions!$C$113*Assumptions!$F$169))</f>
        <v>26.708314195866</v>
      </c>
      <c r="S95" s="69" t="n">
        <f aca="false">IF(S$5="A",0,R95*(1-Assumptions!$C$115*Assumptions!$F$169))</f>
        <v>25.8803564557942</v>
      </c>
      <c r="T95" s="69" t="n">
        <f aca="false">IF(T$5="A",0,S95*(1-Assumptions!$C$115*Assumptions!$F$169))</f>
        <v>25.0780654056645</v>
      </c>
      <c r="U95" s="69" t="n">
        <f aca="false">IF(U$5="A",0,T95*(1-Assumptions!$C$115*Assumptions!$F$169))</f>
        <v>24.3006453780889</v>
      </c>
      <c r="V95" s="69" t="n">
        <f aca="false">IF(V$5="A",0,U95*(1-Assumptions!$C$115*Assumptions!$F$169))</f>
        <v>23.5473253713682</v>
      </c>
      <c r="W95" s="69" t="n">
        <f aca="false">IF(W$5="A",0,V95*(1-Assumptions!$C$115*Assumptions!$F$169))</f>
        <v>22.8173582848558</v>
      </c>
      <c r="X95" s="69" t="n">
        <f aca="false">IF(X$5="A",0,W95*(1-Assumptions!$C$115*Assumptions!$F$169))</f>
        <v>22.1100201780252</v>
      </c>
      <c r="Y95" s="69" t="n">
        <f aca="false">IF(Y$5="A",0,X95*(1-Assumptions!$C$115*Assumptions!$F$169))</f>
        <v>21.4246095525064</v>
      </c>
      <c r="Z95" s="69" t="n">
        <f aca="false">IF(Z$5="A",0,Y95*(1-Assumptions!$C$115*Assumptions!$F$169))</f>
        <v>20.7604466563787</v>
      </c>
      <c r="AA95" s="69" t="n">
        <f aca="false">IF(AA$5="A",0,Z95*(1-Assumptions!$C$115*Assumptions!$F$169))</f>
        <v>20.116872810031</v>
      </c>
      <c r="AB95" s="69" t="n">
        <f aca="false">IF(AB$5="A",0,AA95*(1-Assumptions!$C$117*Assumptions!$F$169))</f>
        <v>19.6944184810204</v>
      </c>
    </row>
    <row r="96" customFormat="false" ht="15" hidden="false" customHeight="false" outlineLevel="0" collapsed="false">
      <c r="A96" s="28" t="s">
        <v>908</v>
      </c>
      <c r="B96" s="63" t="s">
        <v>923</v>
      </c>
      <c r="C96" s="68" t="n">
        <f aca="false">P96</f>
        <v>25.713</v>
      </c>
      <c r="D96" s="68" t="n">
        <f aca="false">AB96</f>
        <v>16.7627568398576</v>
      </c>
      <c r="E96" s="80" t="n">
        <f aca="false">0</f>
        <v>0</v>
      </c>
      <c r="F96" s="80" t="n">
        <f aca="false">0</f>
        <v>0</v>
      </c>
      <c r="G96" s="80" t="n">
        <f aca="false">0</f>
        <v>0</v>
      </c>
      <c r="H96" s="80" t="n">
        <f aca="false">0</f>
        <v>0</v>
      </c>
      <c r="I96" s="80" t="n">
        <f aca="false">0</f>
        <v>0</v>
      </c>
      <c r="J96" s="80" t="n">
        <f aca="false">0</f>
        <v>0</v>
      </c>
      <c r="K96" s="80" t="n">
        <f aca="false">0</f>
        <v>0</v>
      </c>
      <c r="L96" s="80" t="n">
        <f aca="false">0</f>
        <v>0</v>
      </c>
      <c r="M96" s="80" t="n">
        <f aca="false">0</f>
        <v>0</v>
      </c>
      <c r="N96" s="80" t="n">
        <f aca="false">0</f>
        <v>0</v>
      </c>
      <c r="O96" s="80" t="n">
        <f aca="false">0</f>
        <v>0</v>
      </c>
      <c r="P96" s="69" t="n">
        <f aca="false">IF(P$5="A",0,New_Business!P9)</f>
        <v>25.713</v>
      </c>
      <c r="Q96" s="69" t="n">
        <f aca="false">IF(Q$5="A",0,P96*(1-Assumptions!$C$113*Assumptions!$F$169))</f>
        <v>24.504489</v>
      </c>
      <c r="R96" s="69" t="n">
        <f aca="false">IF(R$5="A",0,Q96*(1-Assumptions!$C$113*Assumptions!$F$169))</f>
        <v>23.352778017</v>
      </c>
      <c r="S96" s="69" t="n">
        <f aca="false">IF(S$5="A",0,R96*(1-Assumptions!$C$113*Assumptions!$F$169))</f>
        <v>22.255197450201</v>
      </c>
      <c r="T96" s="69" t="n">
        <f aca="false">IF(T$5="A",0,S96*(1-Assumptions!$C$115*Assumptions!$F$169))</f>
        <v>21.5652863292448</v>
      </c>
      <c r="U96" s="69" t="n">
        <f aca="false">IF(U$5="A",0,T96*(1-Assumptions!$C$115*Assumptions!$F$169))</f>
        <v>20.8967624530382</v>
      </c>
      <c r="V96" s="69" t="n">
        <f aca="false">IF(V$5="A",0,U96*(1-Assumptions!$C$115*Assumptions!$F$169))</f>
        <v>20.248962816994</v>
      </c>
      <c r="W96" s="69" t="n">
        <f aca="false">IF(W$5="A",0,V96*(1-Assumptions!$C$115*Assumptions!$F$169))</f>
        <v>19.6212449696672</v>
      </c>
      <c r="X96" s="69" t="n">
        <f aca="false">IF(X$5="A",0,W96*(1-Assumptions!$C$115*Assumptions!$F$169))</f>
        <v>19.0129863756075</v>
      </c>
      <c r="Y96" s="69" t="n">
        <f aca="false">IF(Y$5="A",0,X96*(1-Assumptions!$C$115*Assumptions!$F$169))</f>
        <v>18.4235837979637</v>
      </c>
      <c r="Z96" s="69" t="n">
        <f aca="false">IF(Z$5="A",0,Y96*(1-Assumptions!$C$115*Assumptions!$F$169))</f>
        <v>17.8524527002268</v>
      </c>
      <c r="AA96" s="69" t="n">
        <f aca="false">IF(AA$5="A",0,Z96*(1-Assumptions!$C$115*Assumptions!$F$169))</f>
        <v>17.2990266665198</v>
      </c>
      <c r="AB96" s="69" t="n">
        <f aca="false">IF(AB$5="A",0,AA96*(1-Assumptions!$C$115*Assumptions!$F$169))</f>
        <v>16.7627568398576</v>
      </c>
    </row>
    <row r="97" customFormat="false" ht="15" hidden="false" customHeight="false" outlineLevel="0" collapsed="false">
      <c r="A97" s="28" t="s">
        <v>909</v>
      </c>
      <c r="B97" s="63" t="s">
        <v>923</v>
      </c>
      <c r="C97" s="68" t="n">
        <f aca="false">P97</f>
        <v>0</v>
      </c>
      <c r="D97" s="68" t="n">
        <f aca="false">AB97</f>
        <v>24.8313994957639</v>
      </c>
      <c r="E97" s="80" t="n">
        <f aca="false">0</f>
        <v>0</v>
      </c>
      <c r="F97" s="80" t="n">
        <f aca="false">0</f>
        <v>0</v>
      </c>
      <c r="G97" s="80" t="n">
        <f aca="false">0</f>
        <v>0</v>
      </c>
      <c r="H97" s="80" t="n">
        <f aca="false">0</f>
        <v>0</v>
      </c>
      <c r="I97" s="80" t="n">
        <f aca="false">0</f>
        <v>0</v>
      </c>
      <c r="J97" s="80" t="n">
        <f aca="false">0</f>
        <v>0</v>
      </c>
      <c r="K97" s="80" t="n">
        <f aca="false">0</f>
        <v>0</v>
      </c>
      <c r="L97" s="80" t="n">
        <f aca="false">0</f>
        <v>0</v>
      </c>
      <c r="M97" s="80" t="n">
        <f aca="false">0</f>
        <v>0</v>
      </c>
      <c r="N97" s="80" t="n">
        <f aca="false">0</f>
        <v>0</v>
      </c>
      <c r="O97" s="80" t="n">
        <f aca="false">0</f>
        <v>0</v>
      </c>
      <c r="P97" s="80" t="n">
        <f aca="false">0</f>
        <v>0</v>
      </c>
      <c r="Q97" s="69" t="n">
        <f aca="false">IF(Q$5="A",0,New_Business!Q9)</f>
        <v>36.909</v>
      </c>
      <c r="R97" s="69" t="n">
        <f aca="false">IF(R$5="A",0,Q97*(1-Assumptions!$C$113*Assumptions!$F$169))</f>
        <v>35.174277</v>
      </c>
      <c r="S97" s="69" t="n">
        <f aca="false">IF(S$5="A",0,R97*(1-Assumptions!$C$113*Assumptions!$F$169))</f>
        <v>33.521085981</v>
      </c>
      <c r="T97" s="69" t="n">
        <f aca="false">IF(T$5="A",0,S97*(1-Assumptions!$C$113*Assumptions!$F$169))</f>
        <v>31.945594939893</v>
      </c>
      <c r="U97" s="69" t="n">
        <f aca="false">IF(U$5="A",0,T97*(1-Assumptions!$C$115*Assumptions!$F$169))</f>
        <v>30.9552814967563</v>
      </c>
      <c r="V97" s="69" t="n">
        <f aca="false">IF(V$5="A",0,U97*(1-Assumptions!$C$115*Assumptions!$F$169))</f>
        <v>29.9956677703569</v>
      </c>
      <c r="W97" s="69" t="n">
        <f aca="false">IF(W$5="A",0,V97*(1-Assumptions!$C$115*Assumptions!$F$169))</f>
        <v>29.0658020694758</v>
      </c>
      <c r="X97" s="69" t="n">
        <f aca="false">IF(X$5="A",0,W97*(1-Assumptions!$C$115*Assumptions!$F$169))</f>
        <v>28.164762205322</v>
      </c>
      <c r="Y97" s="69" t="n">
        <f aca="false">IF(Y$5="A",0,X97*(1-Assumptions!$C$115*Assumptions!$F$169))</f>
        <v>27.2916545769571</v>
      </c>
      <c r="Z97" s="69" t="n">
        <f aca="false">IF(Z$5="A",0,Y97*(1-Assumptions!$C$115*Assumptions!$F$169))</f>
        <v>26.4456132850714</v>
      </c>
      <c r="AA97" s="69" t="n">
        <f aca="false">IF(AA$5="A",0,Z97*(1-Assumptions!$C$115*Assumptions!$F$169))</f>
        <v>25.6257992732342</v>
      </c>
      <c r="AB97" s="69" t="n">
        <f aca="false">IF(AB$5="A",0,AA97*(1-Assumptions!$C$115*Assumptions!$F$169))</f>
        <v>24.8313994957639</v>
      </c>
    </row>
    <row r="98" customFormat="false" ht="15" hidden="false" customHeight="false" outlineLevel="0" collapsed="false">
      <c r="A98" s="28" t="s">
        <v>910</v>
      </c>
      <c r="B98" s="63" t="s">
        <v>923</v>
      </c>
      <c r="C98" s="68" t="n">
        <f aca="false">P98</f>
        <v>0</v>
      </c>
      <c r="D98" s="68" t="n">
        <f aca="false">AB98</f>
        <v>22.6847581796955</v>
      </c>
      <c r="E98" s="80" t="n">
        <f aca="false">0</f>
        <v>0</v>
      </c>
      <c r="F98" s="80" t="n">
        <f aca="false">0</f>
        <v>0</v>
      </c>
      <c r="G98" s="80" t="n">
        <f aca="false">0</f>
        <v>0</v>
      </c>
      <c r="H98" s="80" t="n">
        <f aca="false">0</f>
        <v>0</v>
      </c>
      <c r="I98" s="80" t="n">
        <f aca="false">0</f>
        <v>0</v>
      </c>
      <c r="J98" s="80" t="n">
        <f aca="false">0</f>
        <v>0</v>
      </c>
      <c r="K98" s="80" t="n">
        <f aca="false">0</f>
        <v>0</v>
      </c>
      <c r="L98" s="80" t="n">
        <f aca="false">0</f>
        <v>0</v>
      </c>
      <c r="M98" s="80" t="n">
        <f aca="false">0</f>
        <v>0</v>
      </c>
      <c r="N98" s="80" t="n">
        <f aca="false">0</f>
        <v>0</v>
      </c>
      <c r="O98" s="80" t="n">
        <f aca="false">0</f>
        <v>0</v>
      </c>
      <c r="P98" s="80" t="n">
        <f aca="false">0</f>
        <v>0</v>
      </c>
      <c r="Q98" s="80" t="n">
        <f aca="false">0</f>
        <v>0</v>
      </c>
      <c r="R98" s="69" t="n">
        <f aca="false">IF(R$5="A",0,New_Business!R9)</f>
        <v>32.673</v>
      </c>
      <c r="S98" s="69" t="n">
        <f aca="false">IF(S$5="A",0,R98*(1-Assumptions!$C$113*Assumptions!$F$169))</f>
        <v>31.137369</v>
      </c>
      <c r="T98" s="69" t="n">
        <f aca="false">IF(T$5="A",0,S98*(1-Assumptions!$C$113*Assumptions!$F$169))</f>
        <v>29.673912657</v>
      </c>
      <c r="U98" s="69" t="n">
        <f aca="false">IF(U$5="A",0,T98*(1-Assumptions!$C$113*Assumptions!$F$169))</f>
        <v>28.279238762121</v>
      </c>
      <c r="V98" s="69" t="n">
        <f aca="false">IF(V$5="A",0,U98*(1-Assumptions!$C$115*Assumptions!$F$169))</f>
        <v>27.4025823604952</v>
      </c>
      <c r="W98" s="69" t="n">
        <f aca="false">IF(W$5="A",0,V98*(1-Assumptions!$C$115*Assumptions!$F$169))</f>
        <v>26.5531023073199</v>
      </c>
      <c r="X98" s="69" t="n">
        <f aca="false">IF(X$5="A",0,W98*(1-Assumptions!$C$115*Assumptions!$F$169))</f>
        <v>25.729956135793</v>
      </c>
      <c r="Y98" s="69" t="n">
        <f aca="false">IF(Y$5="A",0,X98*(1-Assumptions!$C$115*Assumptions!$F$169))</f>
        <v>24.9323274955834</v>
      </c>
      <c r="Z98" s="69" t="n">
        <f aca="false">IF(Z$5="A",0,Y98*(1-Assumptions!$C$115*Assumptions!$F$169))</f>
        <v>24.1594253432203</v>
      </c>
      <c r="AA98" s="69" t="n">
        <f aca="false">IF(AA$5="A",0,Z98*(1-Assumptions!$C$115*Assumptions!$F$169))</f>
        <v>23.4104831575805</v>
      </c>
      <c r="AB98" s="69" t="n">
        <f aca="false">IF(AB$5="A",0,AA98*(1-Assumptions!$C$115*Assumptions!$F$169))</f>
        <v>22.6847581796955</v>
      </c>
    </row>
    <row r="99" customFormat="false" ht="15" hidden="false" customHeight="false" outlineLevel="0" collapsed="false">
      <c r="A99" s="28" t="s">
        <v>911</v>
      </c>
      <c r="B99" s="63" t="s">
        <v>923</v>
      </c>
      <c r="C99" s="68" t="n">
        <f aca="false">P99</f>
        <v>0</v>
      </c>
      <c r="D99" s="68" t="n">
        <f aca="false">AB99</f>
        <v>22.7591769050098</v>
      </c>
      <c r="E99" s="80" t="n">
        <f aca="false">0</f>
        <v>0</v>
      </c>
      <c r="F99" s="80" t="n">
        <f aca="false">0</f>
        <v>0</v>
      </c>
      <c r="G99" s="80" t="n">
        <f aca="false">0</f>
        <v>0</v>
      </c>
      <c r="H99" s="80" t="n">
        <f aca="false">0</f>
        <v>0</v>
      </c>
      <c r="I99" s="80" t="n">
        <f aca="false">0</f>
        <v>0</v>
      </c>
      <c r="J99" s="80" t="n">
        <f aca="false">0</f>
        <v>0</v>
      </c>
      <c r="K99" s="80" t="n">
        <f aca="false">0</f>
        <v>0</v>
      </c>
      <c r="L99" s="80" t="n">
        <f aca="false">0</f>
        <v>0</v>
      </c>
      <c r="M99" s="80" t="n">
        <f aca="false">0</f>
        <v>0</v>
      </c>
      <c r="N99" s="80" t="n">
        <f aca="false">0</f>
        <v>0</v>
      </c>
      <c r="O99" s="80" t="n">
        <f aca="false">0</f>
        <v>0</v>
      </c>
      <c r="P99" s="80" t="n">
        <f aca="false">0</f>
        <v>0</v>
      </c>
      <c r="Q99" s="80" t="n">
        <f aca="false">0</f>
        <v>0</v>
      </c>
      <c r="R99" s="80" t="n">
        <f aca="false">0</f>
        <v>0</v>
      </c>
      <c r="S99" s="69" t="n">
        <f aca="false">IF(S$5="A",0,New_Business!S9)</f>
        <v>31.764</v>
      </c>
      <c r="T99" s="69" t="n">
        <f aca="false">IF(T$5="A",0,S99*(1-Assumptions!$C$113*Assumptions!$F$169))</f>
        <v>30.271092</v>
      </c>
      <c r="U99" s="69" t="n">
        <f aca="false">IF(U$5="A",0,T99*(1-Assumptions!$C$113*Assumptions!$F$169))</f>
        <v>28.848350676</v>
      </c>
      <c r="V99" s="69" t="n">
        <f aca="false">IF(V$5="A",0,U99*(1-Assumptions!$C$113*Assumptions!$F$169))</f>
        <v>27.492478194228</v>
      </c>
      <c r="W99" s="69" t="n">
        <f aca="false">IF(W$5="A",0,V99*(1-Assumptions!$C$115*Assumptions!$F$169))</f>
        <v>26.6402113702069</v>
      </c>
      <c r="X99" s="69" t="n">
        <f aca="false">IF(X$5="A",0,W99*(1-Assumptions!$C$115*Assumptions!$F$169))</f>
        <v>25.8143648177305</v>
      </c>
      <c r="Y99" s="69" t="n">
        <f aca="false">IF(Y$5="A",0,X99*(1-Assumptions!$C$115*Assumptions!$F$169))</f>
        <v>25.0141195083809</v>
      </c>
      <c r="Z99" s="69" t="n">
        <f aca="false">IF(Z$5="A",0,Y99*(1-Assumptions!$C$115*Assumptions!$F$169))</f>
        <v>24.2386818036211</v>
      </c>
      <c r="AA99" s="69" t="n">
        <f aca="false">IF(AA$5="A",0,Z99*(1-Assumptions!$C$115*Assumptions!$F$169))</f>
        <v>23.4872826677088</v>
      </c>
      <c r="AB99" s="69" t="n">
        <f aca="false">IF(AB$5="A",0,AA99*(1-Assumptions!$C$115*Assumptions!$F$169))</f>
        <v>22.7591769050098</v>
      </c>
    </row>
    <row r="100" customFormat="false" ht="15" hidden="false" customHeight="false" outlineLevel="0" collapsed="false">
      <c r="A100" s="28" t="s">
        <v>912</v>
      </c>
      <c r="B100" s="63" t="s">
        <v>923</v>
      </c>
      <c r="C100" s="68" t="n">
        <f aca="false">P100</f>
        <v>0</v>
      </c>
      <c r="D100" s="68" t="n">
        <f aca="false">AB100</f>
        <v>22.3692631678481</v>
      </c>
      <c r="E100" s="80" t="n">
        <f aca="false">0</f>
        <v>0</v>
      </c>
      <c r="F100" s="80" t="n">
        <f aca="false">0</f>
        <v>0</v>
      </c>
      <c r="G100" s="80" t="n">
        <f aca="false">0</f>
        <v>0</v>
      </c>
      <c r="H100" s="80" t="n">
        <f aca="false">0</f>
        <v>0</v>
      </c>
      <c r="I100" s="80" t="n">
        <f aca="false">0</f>
        <v>0</v>
      </c>
      <c r="J100" s="80" t="n">
        <f aca="false">0</f>
        <v>0</v>
      </c>
      <c r="K100" s="80" t="n">
        <f aca="false">0</f>
        <v>0</v>
      </c>
      <c r="L100" s="80" t="n">
        <f aca="false">0</f>
        <v>0</v>
      </c>
      <c r="M100" s="80" t="n">
        <f aca="false">0</f>
        <v>0</v>
      </c>
      <c r="N100" s="80" t="n">
        <f aca="false">0</f>
        <v>0</v>
      </c>
      <c r="O100" s="80" t="n">
        <f aca="false">0</f>
        <v>0</v>
      </c>
      <c r="P100" s="80" t="n">
        <f aca="false">0</f>
        <v>0</v>
      </c>
      <c r="Q100" s="80" t="n">
        <f aca="false">0</f>
        <v>0</v>
      </c>
      <c r="R100" s="80" t="n">
        <f aca="false">0</f>
        <v>0</v>
      </c>
      <c r="S100" s="80" t="n">
        <f aca="false">0</f>
        <v>0</v>
      </c>
      <c r="T100" s="69" t="n">
        <f aca="false">IF(T$5="A",0,New_Business!T9)</f>
        <v>30.252</v>
      </c>
      <c r="U100" s="69" t="n">
        <f aca="false">IF(U$5="A",0,T100*(1-Assumptions!$C$113*Assumptions!$F$169))</f>
        <v>28.830156</v>
      </c>
      <c r="V100" s="69" t="n">
        <f aca="false">IF(V$5="A",0,U100*(1-Assumptions!$C$113*Assumptions!$F$169))</f>
        <v>27.475138668</v>
      </c>
      <c r="W100" s="69" t="n">
        <f aca="false">IF(W$5="A",0,V100*(1-Assumptions!$C$113*Assumptions!$F$169))</f>
        <v>26.183807150604</v>
      </c>
      <c r="X100" s="69" t="n">
        <f aca="false">IF(X$5="A",0,W100*(1-Assumptions!$C$115*Assumptions!$F$169))</f>
        <v>25.3721091289353</v>
      </c>
      <c r="Y100" s="69" t="n">
        <f aca="false">IF(Y$5="A",0,X100*(1-Assumptions!$C$115*Assumptions!$F$169))</f>
        <v>24.5855737459383</v>
      </c>
      <c r="Z100" s="69" t="n">
        <f aca="false">IF(Z$5="A",0,Y100*(1-Assumptions!$C$115*Assumptions!$F$169))</f>
        <v>23.8234209598142</v>
      </c>
      <c r="AA100" s="69" t="n">
        <f aca="false">IF(AA$5="A",0,Z100*(1-Assumptions!$C$115*Assumptions!$F$169))</f>
        <v>23.0848949100599</v>
      </c>
      <c r="AB100" s="69" t="n">
        <f aca="false">IF(AB$5="A",0,AA100*(1-Assumptions!$C$115*Assumptions!$F$169))</f>
        <v>22.3692631678481</v>
      </c>
    </row>
    <row r="101" customFormat="false" ht="15" hidden="false" customHeight="false" outlineLevel="0" collapsed="false">
      <c r="A101" s="28" t="s">
        <v>913</v>
      </c>
      <c r="B101" s="63" t="s">
        <v>923</v>
      </c>
      <c r="C101" s="68" t="n">
        <f aca="false">P101</f>
        <v>0</v>
      </c>
      <c r="D101" s="68" t="n">
        <f aca="false">AB101</f>
        <v>23.0848949100599</v>
      </c>
      <c r="E101" s="80" t="n">
        <f aca="false">0</f>
        <v>0</v>
      </c>
      <c r="F101" s="80" t="n">
        <f aca="false">0</f>
        <v>0</v>
      </c>
      <c r="G101" s="80" t="n">
        <f aca="false">0</f>
        <v>0</v>
      </c>
      <c r="H101" s="80" t="n">
        <f aca="false">0</f>
        <v>0</v>
      </c>
      <c r="I101" s="80" t="n">
        <f aca="false">0</f>
        <v>0</v>
      </c>
      <c r="J101" s="80" t="n">
        <f aca="false">0</f>
        <v>0</v>
      </c>
      <c r="K101" s="80" t="n">
        <f aca="false">0</f>
        <v>0</v>
      </c>
      <c r="L101" s="80" t="n">
        <f aca="false">0</f>
        <v>0</v>
      </c>
      <c r="M101" s="80" t="n">
        <f aca="false">0</f>
        <v>0</v>
      </c>
      <c r="N101" s="80" t="n">
        <f aca="false">0</f>
        <v>0</v>
      </c>
      <c r="O101" s="80" t="n">
        <f aca="false">0</f>
        <v>0</v>
      </c>
      <c r="P101" s="80" t="n">
        <f aca="false">0</f>
        <v>0</v>
      </c>
      <c r="Q101" s="80" t="n">
        <f aca="false">0</f>
        <v>0</v>
      </c>
      <c r="R101" s="80" t="n">
        <f aca="false">0</f>
        <v>0</v>
      </c>
      <c r="S101" s="80" t="n">
        <f aca="false">0</f>
        <v>0</v>
      </c>
      <c r="T101" s="80" t="n">
        <f aca="false">0</f>
        <v>0</v>
      </c>
      <c r="U101" s="69" t="n">
        <f aca="false">IF(U$5="A",0,New_Business!U9)</f>
        <v>30.252</v>
      </c>
      <c r="V101" s="69" t="n">
        <f aca="false">IF(V$5="A",0,U101*(1-Assumptions!$C$113*Assumptions!$F$169))</f>
        <v>28.830156</v>
      </c>
      <c r="W101" s="69" t="n">
        <f aca="false">IF(W$5="A",0,V101*(1-Assumptions!$C$113*Assumptions!$F$169))</f>
        <v>27.475138668</v>
      </c>
      <c r="X101" s="69" t="n">
        <f aca="false">IF(X$5="A",0,W101*(1-Assumptions!$C$113*Assumptions!$F$169))</f>
        <v>26.183807150604</v>
      </c>
      <c r="Y101" s="69" t="n">
        <f aca="false">IF(Y$5="A",0,X101*(1-Assumptions!$C$115*Assumptions!$F$169))</f>
        <v>25.3721091289353</v>
      </c>
      <c r="Z101" s="69" t="n">
        <f aca="false">IF(Z$5="A",0,Y101*(1-Assumptions!$C$115*Assumptions!$F$169))</f>
        <v>24.5855737459383</v>
      </c>
      <c r="AA101" s="69" t="n">
        <f aca="false">IF(AA$5="A",0,Z101*(1-Assumptions!$C$115*Assumptions!$F$169))</f>
        <v>23.8234209598142</v>
      </c>
      <c r="AB101" s="69" t="n">
        <f aca="false">IF(AB$5="A",0,AA101*(1-Assumptions!$C$115*Assumptions!$F$169))</f>
        <v>23.0848949100599</v>
      </c>
    </row>
    <row r="102" customFormat="false" ht="15" hidden="false" customHeight="false" outlineLevel="0" collapsed="false">
      <c r="A102" s="28" t="s">
        <v>914</v>
      </c>
      <c r="B102" s="63" t="s">
        <v>923</v>
      </c>
      <c r="C102" s="68" t="n">
        <f aca="false">P102</f>
        <v>0</v>
      </c>
      <c r="D102" s="68" t="n">
        <f aca="false">AB102</f>
        <v>22.6327224112475</v>
      </c>
      <c r="E102" s="80" t="n">
        <f aca="false">0</f>
        <v>0</v>
      </c>
      <c r="F102" s="80" t="n">
        <f aca="false">0</f>
        <v>0</v>
      </c>
      <c r="G102" s="80" t="n">
        <f aca="false">0</f>
        <v>0</v>
      </c>
      <c r="H102" s="80" t="n">
        <f aca="false">0</f>
        <v>0</v>
      </c>
      <c r="I102" s="80" t="n">
        <f aca="false">0</f>
        <v>0</v>
      </c>
      <c r="J102" s="80" t="n">
        <f aca="false">0</f>
        <v>0</v>
      </c>
      <c r="K102" s="80" t="n">
        <f aca="false">0</f>
        <v>0</v>
      </c>
      <c r="L102" s="80" t="n">
        <f aca="false">0</f>
        <v>0</v>
      </c>
      <c r="M102" s="80" t="n">
        <f aca="false">0</f>
        <v>0</v>
      </c>
      <c r="N102" s="80" t="n">
        <f aca="false">0</f>
        <v>0</v>
      </c>
      <c r="O102" s="80" t="n">
        <f aca="false">0</f>
        <v>0</v>
      </c>
      <c r="P102" s="80" t="n">
        <f aca="false">0</f>
        <v>0</v>
      </c>
      <c r="Q102" s="80" t="n">
        <f aca="false">0</f>
        <v>0</v>
      </c>
      <c r="R102" s="80" t="n">
        <f aca="false">0</f>
        <v>0</v>
      </c>
      <c r="S102" s="80" t="n">
        <f aca="false">0</f>
        <v>0</v>
      </c>
      <c r="T102" s="80" t="n">
        <f aca="false">0</f>
        <v>0</v>
      </c>
      <c r="U102" s="80" t="n">
        <f aca="false">0</f>
        <v>0</v>
      </c>
      <c r="V102" s="69" t="n">
        <f aca="false">IF(V$5="A",0,New_Business!V9)</f>
        <v>28.74</v>
      </c>
      <c r="W102" s="69" t="n">
        <f aca="false">IF(W$5="A",0,V102*(1-Assumptions!$C$113*Assumptions!$F$169))</f>
        <v>27.38922</v>
      </c>
      <c r="X102" s="69" t="n">
        <f aca="false">IF(X$5="A",0,W102*(1-Assumptions!$C$113*Assumptions!$F$169))</f>
        <v>26.10192666</v>
      </c>
      <c r="Y102" s="69" t="n">
        <f aca="false">IF(Y$5="A",0,X102*(1-Assumptions!$C$113*Assumptions!$F$169))</f>
        <v>24.87513610698</v>
      </c>
      <c r="Z102" s="69" t="n">
        <f aca="false">IF(Z$5="A",0,Y102*(1-Assumptions!$C$115*Assumptions!$F$169))</f>
        <v>24.1040068876636</v>
      </c>
      <c r="AA102" s="69" t="n">
        <f aca="false">IF(AA$5="A",0,Z102*(1-Assumptions!$C$115*Assumptions!$F$169))</f>
        <v>23.356782674146</v>
      </c>
      <c r="AB102" s="69" t="n">
        <f aca="false">IF(AB$5="A",0,AA102*(1-Assumptions!$C$115*Assumptions!$F$169))</f>
        <v>22.6327224112475</v>
      </c>
    </row>
    <row r="103" customFormat="false" ht="15" hidden="false" customHeight="false" outlineLevel="0" collapsed="false">
      <c r="A103" s="28" t="s">
        <v>915</v>
      </c>
      <c r="B103" s="63" t="s">
        <v>923</v>
      </c>
      <c r="C103" s="68" t="n">
        <f aca="false">P103</f>
        <v>0</v>
      </c>
      <c r="D103" s="68" t="n">
        <f aca="false">AB103</f>
        <v>20.8967624530382</v>
      </c>
      <c r="E103" s="80" t="n">
        <f aca="false">0</f>
        <v>0</v>
      </c>
      <c r="F103" s="80" t="n">
        <f aca="false">0</f>
        <v>0</v>
      </c>
      <c r="G103" s="80" t="n">
        <f aca="false">0</f>
        <v>0</v>
      </c>
      <c r="H103" s="80" t="n">
        <f aca="false">0</f>
        <v>0</v>
      </c>
      <c r="I103" s="80" t="n">
        <f aca="false">0</f>
        <v>0</v>
      </c>
      <c r="J103" s="80" t="n">
        <f aca="false">0</f>
        <v>0</v>
      </c>
      <c r="K103" s="80" t="n">
        <f aca="false">0</f>
        <v>0</v>
      </c>
      <c r="L103" s="80" t="n">
        <f aca="false">0</f>
        <v>0</v>
      </c>
      <c r="M103" s="80" t="n">
        <f aca="false">0</f>
        <v>0</v>
      </c>
      <c r="N103" s="80" t="n">
        <f aca="false">0</f>
        <v>0</v>
      </c>
      <c r="O103" s="80" t="n">
        <f aca="false">0</f>
        <v>0</v>
      </c>
      <c r="P103" s="80" t="n">
        <f aca="false">0</f>
        <v>0</v>
      </c>
      <c r="Q103" s="80" t="n">
        <f aca="false">0</f>
        <v>0</v>
      </c>
      <c r="R103" s="80" t="n">
        <f aca="false">0</f>
        <v>0</v>
      </c>
      <c r="S103" s="80" t="n">
        <f aca="false">0</f>
        <v>0</v>
      </c>
      <c r="T103" s="80" t="n">
        <f aca="false">0</f>
        <v>0</v>
      </c>
      <c r="U103" s="80" t="n">
        <f aca="false">0</f>
        <v>0</v>
      </c>
      <c r="V103" s="80" t="n">
        <f aca="false">0</f>
        <v>0</v>
      </c>
      <c r="W103" s="69" t="n">
        <f aca="false">IF(W$5="A",0,New_Business!W9)</f>
        <v>25.713</v>
      </c>
      <c r="X103" s="69" t="n">
        <f aca="false">IF(X$5="A",0,W103*(1-Assumptions!$C$113*Assumptions!$F$169))</f>
        <v>24.504489</v>
      </c>
      <c r="Y103" s="69" t="n">
        <f aca="false">IF(Y$5="A",0,X103*(1-Assumptions!$C$113*Assumptions!$F$169))</f>
        <v>23.352778017</v>
      </c>
      <c r="Z103" s="69" t="n">
        <f aca="false">IF(Z$5="A",0,Y103*(1-Assumptions!$C$113*Assumptions!$F$169))</f>
        <v>22.255197450201</v>
      </c>
      <c r="AA103" s="69" t="n">
        <f aca="false">IF(AA$5="A",0,Z103*(1-Assumptions!$C$115*Assumptions!$F$169))</f>
        <v>21.5652863292448</v>
      </c>
      <c r="AB103" s="69" t="n">
        <f aca="false">IF(AB$5="A",0,AA103*(1-Assumptions!$C$115*Assumptions!$F$169))</f>
        <v>20.8967624530382</v>
      </c>
    </row>
    <row r="104" customFormat="false" ht="15" hidden="false" customHeight="false" outlineLevel="0" collapsed="false">
      <c r="A104" s="28" t="s">
        <v>916</v>
      </c>
      <c r="B104" s="63" t="s">
        <v>923</v>
      </c>
      <c r="C104" s="68" t="n">
        <f aca="false">P104</f>
        <v>0</v>
      </c>
      <c r="D104" s="68" t="n">
        <f aca="false">AB104</f>
        <v>17.2527322785709</v>
      </c>
      <c r="E104" s="80" t="n">
        <f aca="false">0</f>
        <v>0</v>
      </c>
      <c r="F104" s="80" t="n">
        <f aca="false">0</f>
        <v>0</v>
      </c>
      <c r="G104" s="80" t="n">
        <f aca="false">0</f>
        <v>0</v>
      </c>
      <c r="H104" s="80" t="n">
        <f aca="false">0</f>
        <v>0</v>
      </c>
      <c r="I104" s="80" t="n">
        <f aca="false">0</f>
        <v>0</v>
      </c>
      <c r="J104" s="80" t="n">
        <f aca="false">0</f>
        <v>0</v>
      </c>
      <c r="K104" s="80" t="n">
        <f aca="false">0</f>
        <v>0</v>
      </c>
      <c r="L104" s="80" t="n">
        <f aca="false">0</f>
        <v>0</v>
      </c>
      <c r="M104" s="80" t="n">
        <f aca="false">0</f>
        <v>0</v>
      </c>
      <c r="N104" s="80" t="n">
        <f aca="false">0</f>
        <v>0</v>
      </c>
      <c r="O104" s="80" t="n">
        <f aca="false">0</f>
        <v>0</v>
      </c>
      <c r="P104" s="80" t="n">
        <f aca="false">0</f>
        <v>0</v>
      </c>
      <c r="Q104" s="80" t="n">
        <f aca="false">0</f>
        <v>0</v>
      </c>
      <c r="R104" s="80" t="n">
        <f aca="false">0</f>
        <v>0</v>
      </c>
      <c r="S104" s="80" t="n">
        <f aca="false">0</f>
        <v>0</v>
      </c>
      <c r="T104" s="80" t="n">
        <f aca="false">0</f>
        <v>0</v>
      </c>
      <c r="U104" s="80" t="n">
        <f aca="false">0</f>
        <v>0</v>
      </c>
      <c r="V104" s="80" t="n">
        <f aca="false">0</f>
        <v>0</v>
      </c>
      <c r="W104" s="80" t="n">
        <f aca="false">0</f>
        <v>0</v>
      </c>
      <c r="X104" s="69" t="n">
        <f aca="false">IF(X$5="A",0,New_Business!X9)</f>
        <v>20.571</v>
      </c>
      <c r="Y104" s="69" t="n">
        <f aca="false">IF(Y$5="A",0,X104*(1-Assumptions!$C$113*Assumptions!$F$169))</f>
        <v>19.604163</v>
      </c>
      <c r="Z104" s="69" t="n">
        <f aca="false">IF(Z$5="A",0,Y104*(1-Assumptions!$C$113*Assumptions!$F$169))</f>
        <v>18.682767339</v>
      </c>
      <c r="AA104" s="69" t="n">
        <f aca="false">IF(AA$5="A",0,Z104*(1-Assumptions!$C$113*Assumptions!$F$169))</f>
        <v>17.804677274067</v>
      </c>
      <c r="AB104" s="69" t="n">
        <f aca="false">IF(AB$5="A",0,AA104*(1-Assumptions!$C$115*Assumptions!$F$169))</f>
        <v>17.2527322785709</v>
      </c>
    </row>
    <row r="105" customFormat="false" ht="15" hidden="false" customHeight="false" outlineLevel="0" collapsed="false">
      <c r="A105" s="28" t="s">
        <v>917</v>
      </c>
      <c r="B105" s="63" t="s">
        <v>923</v>
      </c>
      <c r="C105" s="68" t="n">
        <f aca="false">P105</f>
        <v>0</v>
      </c>
      <c r="D105" s="68" t="n">
        <f aca="false">AB105</f>
        <v>28.279238762121</v>
      </c>
      <c r="E105" s="80" t="n">
        <f aca="false">0</f>
        <v>0</v>
      </c>
      <c r="F105" s="80" t="n">
        <f aca="false">0</f>
        <v>0</v>
      </c>
      <c r="G105" s="80" t="n">
        <f aca="false">0</f>
        <v>0</v>
      </c>
      <c r="H105" s="80" t="n">
        <f aca="false">0</f>
        <v>0</v>
      </c>
      <c r="I105" s="80" t="n">
        <f aca="false">0</f>
        <v>0</v>
      </c>
      <c r="J105" s="80" t="n">
        <f aca="false">0</f>
        <v>0</v>
      </c>
      <c r="K105" s="80" t="n">
        <f aca="false">0</f>
        <v>0</v>
      </c>
      <c r="L105" s="80" t="n">
        <f aca="false">0</f>
        <v>0</v>
      </c>
      <c r="M105" s="80" t="n">
        <f aca="false">0</f>
        <v>0</v>
      </c>
      <c r="N105" s="80" t="n">
        <f aca="false">0</f>
        <v>0</v>
      </c>
      <c r="O105" s="80" t="n">
        <f aca="false">0</f>
        <v>0</v>
      </c>
      <c r="P105" s="80" t="n">
        <f aca="false">0</f>
        <v>0</v>
      </c>
      <c r="Q105" s="80" t="n">
        <f aca="false">0</f>
        <v>0</v>
      </c>
      <c r="R105" s="80" t="n">
        <f aca="false">0</f>
        <v>0</v>
      </c>
      <c r="S105" s="80" t="n">
        <f aca="false">0</f>
        <v>0</v>
      </c>
      <c r="T105" s="80" t="n">
        <f aca="false">0</f>
        <v>0</v>
      </c>
      <c r="U105" s="80" t="n">
        <f aca="false">0</f>
        <v>0</v>
      </c>
      <c r="V105" s="80" t="n">
        <f aca="false">0</f>
        <v>0</v>
      </c>
      <c r="W105" s="80" t="n">
        <f aca="false">0</f>
        <v>0</v>
      </c>
      <c r="X105" s="80" t="n">
        <f aca="false">0</f>
        <v>0</v>
      </c>
      <c r="Y105" s="69" t="n">
        <f aca="false">IF(Y$5="A",0,New_Business!Y9)</f>
        <v>32.673</v>
      </c>
      <c r="Z105" s="69" t="n">
        <f aca="false">IF(Z$5="A",0,Y105*(1-Assumptions!$C$113*Assumptions!$F$169))</f>
        <v>31.137369</v>
      </c>
      <c r="AA105" s="69" t="n">
        <f aca="false">IF(AA$5="A",0,Z105*(1-Assumptions!$C$113*Assumptions!$F$169))</f>
        <v>29.673912657</v>
      </c>
      <c r="AB105" s="69" t="n">
        <f aca="false">IF(AB$5="A",0,AA105*(1-Assumptions!$C$113*Assumptions!$F$169))</f>
        <v>28.279238762121</v>
      </c>
    </row>
    <row r="106" customFormat="false" ht="15" hidden="false" customHeight="false" outlineLevel="0" collapsed="false">
      <c r="A106" s="28" t="s">
        <v>918</v>
      </c>
      <c r="B106" s="63" t="s">
        <v>923</v>
      </c>
      <c r="C106" s="68" t="n">
        <f aca="false">P106</f>
        <v>0</v>
      </c>
      <c r="D106" s="68" t="n">
        <f aca="false">AB106</f>
        <v>30.771937338</v>
      </c>
      <c r="E106" s="80" t="n">
        <f aca="false">0</f>
        <v>0</v>
      </c>
      <c r="F106" s="80" t="n">
        <f aca="false">0</f>
        <v>0</v>
      </c>
      <c r="G106" s="80" t="n">
        <f aca="false">0</f>
        <v>0</v>
      </c>
      <c r="H106" s="80" t="n">
        <f aca="false">0</f>
        <v>0</v>
      </c>
      <c r="I106" s="80" t="n">
        <f aca="false">0</f>
        <v>0</v>
      </c>
      <c r="J106" s="80" t="n">
        <f aca="false">0</f>
        <v>0</v>
      </c>
      <c r="K106" s="80" t="n">
        <f aca="false">0</f>
        <v>0</v>
      </c>
      <c r="L106" s="80" t="n">
        <f aca="false">0</f>
        <v>0</v>
      </c>
      <c r="M106" s="80" t="n">
        <f aca="false">0</f>
        <v>0</v>
      </c>
      <c r="N106" s="80" t="n">
        <f aca="false">0</f>
        <v>0</v>
      </c>
      <c r="O106" s="80" t="n">
        <f aca="false">0</f>
        <v>0</v>
      </c>
      <c r="P106" s="80" t="n">
        <f aca="false">0</f>
        <v>0</v>
      </c>
      <c r="Q106" s="80" t="n">
        <f aca="false">0</f>
        <v>0</v>
      </c>
      <c r="R106" s="80" t="n">
        <f aca="false">0</f>
        <v>0</v>
      </c>
      <c r="S106" s="80" t="n">
        <f aca="false">0</f>
        <v>0</v>
      </c>
      <c r="T106" s="80" t="n">
        <f aca="false">0</f>
        <v>0</v>
      </c>
      <c r="U106" s="80" t="n">
        <f aca="false">0</f>
        <v>0</v>
      </c>
      <c r="V106" s="80" t="n">
        <f aca="false">0</f>
        <v>0</v>
      </c>
      <c r="W106" s="80" t="n">
        <f aca="false">0</f>
        <v>0</v>
      </c>
      <c r="X106" s="80" t="n">
        <f aca="false">0</f>
        <v>0</v>
      </c>
      <c r="Y106" s="80" t="n">
        <f aca="false">0</f>
        <v>0</v>
      </c>
      <c r="Z106" s="69" t="n">
        <f aca="false">IF(Z$5="A",0,New_Business!Z9)</f>
        <v>33.882</v>
      </c>
      <c r="AA106" s="69" t="n">
        <f aca="false">IF(AA$5="A",0,Z106*(1-Assumptions!$C$113*Assumptions!$F$169))</f>
        <v>32.289546</v>
      </c>
      <c r="AB106" s="69" t="n">
        <f aca="false">IF(AB$5="A",0,AA106*(1-Assumptions!$C$113*Assumptions!$F$169))</f>
        <v>30.771937338</v>
      </c>
    </row>
    <row r="107" customFormat="false" ht="15" hidden="false" customHeight="false" outlineLevel="0" collapsed="false">
      <c r="A107" s="28" t="s">
        <v>919</v>
      </c>
      <c r="B107" s="63" t="s">
        <v>923</v>
      </c>
      <c r="C107" s="68" t="n">
        <f aca="false">P107</f>
        <v>0</v>
      </c>
      <c r="D107" s="68" t="n">
        <f aca="false">AB107</f>
        <v>29.407674</v>
      </c>
      <c r="E107" s="80" t="n">
        <f aca="false">0</f>
        <v>0</v>
      </c>
      <c r="F107" s="80" t="n">
        <f aca="false">0</f>
        <v>0</v>
      </c>
      <c r="G107" s="80" t="n">
        <f aca="false">0</f>
        <v>0</v>
      </c>
      <c r="H107" s="80" t="n">
        <f aca="false">0</f>
        <v>0</v>
      </c>
      <c r="I107" s="80" t="n">
        <f aca="false">0</f>
        <v>0</v>
      </c>
      <c r="J107" s="80" t="n">
        <f aca="false">0</f>
        <v>0</v>
      </c>
      <c r="K107" s="80" t="n">
        <f aca="false">0</f>
        <v>0</v>
      </c>
      <c r="L107" s="80" t="n">
        <f aca="false">0</f>
        <v>0</v>
      </c>
      <c r="M107" s="80" t="n">
        <f aca="false">0</f>
        <v>0</v>
      </c>
      <c r="N107" s="80" t="n">
        <f aca="false">0</f>
        <v>0</v>
      </c>
      <c r="O107" s="80" t="n">
        <f aca="false">0</f>
        <v>0</v>
      </c>
      <c r="P107" s="80" t="n">
        <f aca="false">0</f>
        <v>0</v>
      </c>
      <c r="Q107" s="80" t="n">
        <f aca="false">0</f>
        <v>0</v>
      </c>
      <c r="R107" s="80" t="n">
        <f aca="false">0</f>
        <v>0</v>
      </c>
      <c r="S107" s="80" t="n">
        <f aca="false">0</f>
        <v>0</v>
      </c>
      <c r="T107" s="80" t="n">
        <f aca="false">0</f>
        <v>0</v>
      </c>
      <c r="U107" s="80" t="n">
        <f aca="false">0</f>
        <v>0</v>
      </c>
      <c r="V107" s="80" t="n">
        <f aca="false">0</f>
        <v>0</v>
      </c>
      <c r="W107" s="80" t="n">
        <f aca="false">0</f>
        <v>0</v>
      </c>
      <c r="X107" s="80" t="n">
        <f aca="false">0</f>
        <v>0</v>
      </c>
      <c r="Y107" s="80" t="n">
        <f aca="false">0</f>
        <v>0</v>
      </c>
      <c r="Z107" s="80" t="n">
        <f aca="false">0</f>
        <v>0</v>
      </c>
      <c r="AA107" s="69" t="n">
        <f aca="false">IF(AA$5="A",0,New_Business!AA9)</f>
        <v>30.858</v>
      </c>
      <c r="AB107" s="69" t="n">
        <f aca="false">IF(AB$5="A",0,AA107*(1-Assumptions!$C$113*Assumptions!$F$169))</f>
        <v>29.407674</v>
      </c>
    </row>
    <row r="108" customFormat="false" ht="15" hidden="false" customHeight="false" outlineLevel="0" collapsed="false">
      <c r="A108" s="28" t="s">
        <v>920</v>
      </c>
      <c r="B108" s="63" t="s">
        <v>923</v>
      </c>
      <c r="C108" s="68" t="n">
        <f aca="false">P108</f>
        <v>0</v>
      </c>
      <c r="D108" s="68" t="n">
        <f aca="false">AB108</f>
        <v>25.713</v>
      </c>
      <c r="E108" s="80" t="n">
        <f aca="false">0</f>
        <v>0</v>
      </c>
      <c r="F108" s="80" t="n">
        <f aca="false">0</f>
        <v>0</v>
      </c>
      <c r="G108" s="80" t="n">
        <f aca="false">0</f>
        <v>0</v>
      </c>
      <c r="H108" s="80" t="n">
        <f aca="false">0</f>
        <v>0</v>
      </c>
      <c r="I108" s="80" t="n">
        <f aca="false">0</f>
        <v>0</v>
      </c>
      <c r="J108" s="80" t="n">
        <f aca="false">0</f>
        <v>0</v>
      </c>
      <c r="K108" s="80" t="n">
        <f aca="false">0</f>
        <v>0</v>
      </c>
      <c r="L108" s="80" t="n">
        <f aca="false">0</f>
        <v>0</v>
      </c>
      <c r="M108" s="80" t="n">
        <f aca="false">0</f>
        <v>0</v>
      </c>
      <c r="N108" s="80" t="n">
        <f aca="false">0</f>
        <v>0</v>
      </c>
      <c r="O108" s="80" t="n">
        <f aca="false">0</f>
        <v>0</v>
      </c>
      <c r="P108" s="80" t="n">
        <f aca="false">0</f>
        <v>0</v>
      </c>
      <c r="Q108" s="80" t="n">
        <f aca="false">0</f>
        <v>0</v>
      </c>
      <c r="R108" s="80" t="n">
        <f aca="false">0</f>
        <v>0</v>
      </c>
      <c r="S108" s="80" t="n">
        <f aca="false">0</f>
        <v>0</v>
      </c>
      <c r="T108" s="80" t="n">
        <f aca="false">0</f>
        <v>0</v>
      </c>
      <c r="U108" s="80" t="n">
        <f aca="false">0</f>
        <v>0</v>
      </c>
      <c r="V108" s="80" t="n">
        <f aca="false">0</f>
        <v>0</v>
      </c>
      <c r="W108" s="80" t="n">
        <f aca="false">0</f>
        <v>0</v>
      </c>
      <c r="X108" s="80" t="n">
        <f aca="false">0</f>
        <v>0</v>
      </c>
      <c r="Y108" s="80" t="n">
        <f aca="false">0</f>
        <v>0</v>
      </c>
      <c r="Z108" s="80" t="n">
        <f aca="false">0</f>
        <v>0</v>
      </c>
      <c r="AA108" s="80" t="n">
        <f aca="false">0</f>
        <v>0</v>
      </c>
      <c r="AB108" s="69" t="n">
        <f aca="false">IF(AB$5="A",0,New_Business!AB9)</f>
        <v>25.713</v>
      </c>
    </row>
    <row r="109" customFormat="false" ht="15" hidden="false" customHeight="false" outlineLevel="0" collapsed="false">
      <c r="A109" s="59" t="s">
        <v>924</v>
      </c>
      <c r="B109" s="60"/>
      <c r="C109" s="82" t="n">
        <f aca="false">P109</f>
        <v>829.806754265798</v>
      </c>
      <c r="D109" s="82" t="n">
        <f aca="false">AB109</f>
        <v>917.118673747424</v>
      </c>
      <c r="E109" s="82" t="n">
        <f aca="false">SUM(E60:E108)</f>
        <v>738</v>
      </c>
      <c r="F109" s="82" t="n">
        <f aca="false">SUM(F60:F108)</f>
        <v>748</v>
      </c>
      <c r="G109" s="82" t="n">
        <f aca="false">SUM(G60:G108)</f>
        <v>767</v>
      </c>
      <c r="H109" s="82" t="n">
        <f aca="false">SUM(H60:H108)</f>
        <v>775</v>
      </c>
      <c r="I109" s="82" t="n">
        <f aca="false">SUM(I60:I108)</f>
        <v>773</v>
      </c>
      <c r="J109" s="82" t="n">
        <f aca="false">SUM(J60:J108)</f>
        <v>773</v>
      </c>
      <c r="K109" s="82" t="n">
        <f aca="false">SUM(K60:K108)</f>
        <v>795</v>
      </c>
      <c r="L109" s="82" t="n">
        <f aca="false">SUM(L60:L108)</f>
        <v>791</v>
      </c>
      <c r="M109" s="82" t="n">
        <f aca="false">SUM(M60:M108)</f>
        <v>803.232</v>
      </c>
      <c r="N109" s="82" t="n">
        <f aca="false">SUM(N60:N108)</f>
        <v>816.189902</v>
      </c>
      <c r="O109" s="82" t="n">
        <f aca="false">SUM(O60:O108)</f>
        <v>825.77282162</v>
      </c>
      <c r="P109" s="82" t="n">
        <f aca="false">SUM(P60:P108)</f>
        <v>829.806754265798</v>
      </c>
      <c r="Q109" s="82" t="n">
        <f aca="false">SUM(Q60:Q108)</f>
        <v>845.067687450849</v>
      </c>
      <c r="R109" s="82" t="n">
        <f aca="false">SUM(R60:R108)</f>
        <v>855.653370743051</v>
      </c>
      <c r="S109" s="82" t="n">
        <f aca="false">SUM(S60:S108)</f>
        <v>865.064322307109</v>
      </c>
      <c r="T109" s="82" t="n">
        <f aca="false">SUM(T60:T108)</f>
        <v>872.686302339239</v>
      </c>
      <c r="U109" s="82" t="n">
        <f aca="false">SUM(U60:U108)</f>
        <v>880.222290405998</v>
      </c>
      <c r="V109" s="82" t="n">
        <f aca="false">SUM(V60:V108)</f>
        <v>886.063115234064</v>
      </c>
      <c r="W109" s="82" t="n">
        <f aca="false">SUM(W60:W108)</f>
        <v>888.828514850782</v>
      </c>
      <c r="X109" s="82" t="n">
        <f aca="false">SUM(X60:X108)</f>
        <v>886.519392001976</v>
      </c>
      <c r="Y109" s="82" t="n">
        <f aca="false">SUM(Y60:Y108)</f>
        <v>896.545934966416</v>
      </c>
      <c r="Z109" s="82" t="n">
        <f aca="false">SUM(Z60:Z108)</f>
        <v>907.48695158739</v>
      </c>
      <c r="AA109" s="82" t="n">
        <f aca="false">SUM(AA60:AA108)</f>
        <v>915.029221870919</v>
      </c>
      <c r="AB109" s="82" t="n">
        <f aca="false">SUM(AB60:AB108)</f>
        <v>917.118673747424</v>
      </c>
    </row>
    <row r="110" customFormat="false" ht="15" hidden="false" customHeight="false" outlineLevel="0" collapsed="false">
      <c r="A110" s="22" t="s">
        <v>925</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row>
    <row r="111" customFormat="false" ht="15" hidden="false" customHeight="false" outlineLevel="0" collapsed="false">
      <c r="A111" s="28" t="s">
        <v>731</v>
      </c>
      <c r="B111" s="63"/>
      <c r="E111" s="65" t="n">
        <f aca="false">SUM(History!$E$48:$E$72)</f>
        <v>164218.83</v>
      </c>
      <c r="F111" s="74" t="n">
        <f aca="false">E58</f>
        <v>174978.24</v>
      </c>
      <c r="G111" s="74" t="n">
        <f aca="false">F58</f>
        <v>177795.19</v>
      </c>
      <c r="H111" s="74" t="n">
        <f aca="false">G58</f>
        <v>182441.8</v>
      </c>
      <c r="I111" s="74" t="n">
        <f aca="false">H58</f>
        <v>185266.36</v>
      </c>
      <c r="J111" s="74" t="n">
        <f aca="false">I58</f>
        <v>186670.07</v>
      </c>
      <c r="K111" s="74" t="n">
        <f aca="false">J58</f>
        <v>188010.67</v>
      </c>
      <c r="L111" s="74" t="n">
        <f aca="false">K58</f>
        <v>193092.08</v>
      </c>
      <c r="M111" s="74" t="n">
        <f aca="false">L58</f>
        <v>193793.2</v>
      </c>
      <c r="N111" s="74" t="n">
        <f aca="false">M58</f>
        <v>197510.54199</v>
      </c>
      <c r="O111" s="74" t="n">
        <f aca="false">N58</f>
        <v>201389.981659303</v>
      </c>
      <c r="P111" s="74" t="n">
        <f aca="false">O58</f>
        <v>204577.130406235</v>
      </c>
      <c r="Q111" s="74" t="n">
        <f aca="false">P58</f>
        <v>206620.769301376</v>
      </c>
      <c r="R111" s="74" t="n">
        <f aca="false">Q58</f>
        <v>221529.16542104</v>
      </c>
      <c r="S111" s="74" t="n">
        <f aca="false">R58</f>
        <v>225107.101002617</v>
      </c>
      <c r="T111" s="74" t="n">
        <f aca="false">S58</f>
        <v>228435.848599049</v>
      </c>
      <c r="U111" s="74" t="n">
        <f aca="false">T58</f>
        <v>231378.848655521</v>
      </c>
      <c r="V111" s="74" t="n">
        <f aca="false">U58</f>
        <v>234298.743785971</v>
      </c>
      <c r="W111" s="74" t="n">
        <f aca="false">V58</f>
        <v>236849.87830248</v>
      </c>
      <c r="X111" s="74" t="n">
        <f aca="false">W58</f>
        <v>238726.323980879</v>
      </c>
      <c r="Y111" s="74" t="n">
        <f aca="false">X58</f>
        <v>239484.052549134</v>
      </c>
      <c r="Z111" s="74" t="n">
        <f aca="false">Y58</f>
        <v>242896.501665807</v>
      </c>
      <c r="AA111" s="74" t="n">
        <f aca="false">Z58</f>
        <v>246515.843407558</v>
      </c>
      <c r="AB111" s="74" t="n">
        <f aca="false">AA58</f>
        <v>249407.831021413</v>
      </c>
    </row>
    <row r="112" customFormat="false" ht="15" hidden="false" customHeight="false" outlineLevel="0" collapsed="false">
      <c r="A112" s="28" t="s">
        <v>732</v>
      </c>
      <c r="B112" s="63" t="s">
        <v>58</v>
      </c>
      <c r="C112" s="64" t="n">
        <f aca="false">SUM(E112:P112)</f>
        <v>73671.732</v>
      </c>
      <c r="D112" s="64" t="n">
        <f aca="false">SUM(Q112:AB112)</f>
        <v>78246</v>
      </c>
      <c r="E112" s="65" t="n">
        <f aca="false">IF(E$5="A",Inputs_Actuals!E190,New_Business!E11)</f>
        <v>6167.42</v>
      </c>
      <c r="F112" s="65" t="n">
        <f aca="false">IF(F$5="A",Inputs_Actuals!F190,New_Business!F11)</f>
        <v>7044.4</v>
      </c>
      <c r="G112" s="65" t="n">
        <f aca="false">IF(G$5="A",Inputs_Actuals!G190,New_Business!G11)</f>
        <v>6938.22</v>
      </c>
      <c r="H112" s="65" t="n">
        <f aca="false">IF(H$5="A",Inputs_Actuals!H190,New_Business!H11)</f>
        <v>5811.95</v>
      </c>
      <c r="I112" s="65" t="n">
        <f aca="false">IF(I$5="A",Inputs_Actuals!I190,New_Business!I11)</f>
        <v>4499.94</v>
      </c>
      <c r="J112" s="65" t="n">
        <f aca="false">IF(J$5="A",Inputs_Actuals!J190,New_Business!J11)</f>
        <v>6642.93</v>
      </c>
      <c r="K112" s="65" t="n">
        <f aca="false">IF(K$5="A",Inputs_Actuals!K190,New_Business!K11)</f>
        <v>6680.55</v>
      </c>
      <c r="L112" s="65" t="n">
        <f aca="false">IF(L$5="A",Inputs_Actuals!L190,New_Business!L11)</f>
        <v>4399.24</v>
      </c>
      <c r="M112" s="65" t="n">
        <f aca="false">IF(M$5="A",Inputs_Actuals!M190,New_Business!M11)</f>
        <v>6763.311</v>
      </c>
      <c r="N112" s="65" t="n">
        <f aca="false">IF(N$5="A",Inputs_Actuals!N190,New_Business!N11)</f>
        <v>7013.574</v>
      </c>
      <c r="O112" s="65" t="n">
        <f aca="false">IF(O$5="A",Inputs_Actuals!O190,New_Business!O11)</f>
        <v>6387.606</v>
      </c>
      <c r="P112" s="65" t="n">
        <f aca="false">IF(P$5="A",Inputs_Actuals!P190,New_Business!P11)</f>
        <v>5322.591</v>
      </c>
      <c r="Q112" s="65" t="n">
        <f aca="false">IF(Q$5="A",Inputs_Actuals!Q190,New_Business!Q11)</f>
        <v>8022.17115</v>
      </c>
      <c r="R112" s="65" t="n">
        <f aca="false">IF(R$5="A",Inputs_Actuals!R190,New_Business!R11)</f>
        <v>7101.47655</v>
      </c>
      <c r="S112" s="65" t="n">
        <f aca="false">IF(S$5="A",Inputs_Actuals!S190,New_Business!S11)</f>
        <v>6903.9054</v>
      </c>
      <c r="T112" s="65" t="n">
        <f aca="false">IF(T$5="A",Inputs_Actuals!T190,New_Business!T11)</f>
        <v>6575.2722</v>
      </c>
      <c r="U112" s="65" t="n">
        <f aca="false">IF(U$5="A",Inputs_Actuals!U190,New_Business!U11)</f>
        <v>6575.2722</v>
      </c>
      <c r="V112" s="65" t="n">
        <f aca="false">IF(V$5="A",Inputs_Actuals!V190,New_Business!V11)</f>
        <v>6246.639</v>
      </c>
      <c r="W112" s="65" t="n">
        <f aca="false">IF(W$5="A",Inputs_Actuals!W190,New_Business!W11)</f>
        <v>5588.72055</v>
      </c>
      <c r="X112" s="65" t="n">
        <f aca="false">IF(X$5="A",Inputs_Actuals!X190,New_Business!X11)</f>
        <v>4471.10685</v>
      </c>
      <c r="Y112" s="65" t="n">
        <f aca="false">IF(Y$5="A",Inputs_Actuals!Y190,New_Business!Y11)</f>
        <v>7101.47655</v>
      </c>
      <c r="Z112" s="65" t="n">
        <f aca="false">IF(Z$5="A",Inputs_Actuals!Z190,New_Business!Z11)</f>
        <v>7364.2527</v>
      </c>
      <c r="AA112" s="65" t="n">
        <f aca="false">IF(AA$5="A",Inputs_Actuals!AA190,New_Business!AA11)</f>
        <v>6706.9863</v>
      </c>
      <c r="AB112" s="65" t="n">
        <f aca="false">IF(AB$5="A",Inputs_Actuals!AB190,New_Business!AB11)</f>
        <v>5588.72055</v>
      </c>
    </row>
    <row r="113" customFormat="false" ht="15" hidden="false" customHeight="false" outlineLevel="0" collapsed="false">
      <c r="A113" s="28" t="s">
        <v>736</v>
      </c>
      <c r="B113" s="63" t="s">
        <v>926</v>
      </c>
      <c r="C113" s="64" t="n">
        <f aca="false">SUM(E113:P113)</f>
        <v>-52464.4978229572</v>
      </c>
      <c r="D113" s="64" t="n">
        <f aca="false">SUM(Q113:AB113)</f>
        <v>-60723.2697764159</v>
      </c>
      <c r="E113" s="65" t="n">
        <f aca="false">-Inputs_Actuals!E194</f>
        <v>-4290.02</v>
      </c>
      <c r="F113" s="65" t="n">
        <f aca="false">IF(F$5="A",-Inputs_Actuals!F194,-Assumptions!$F$169*(Assumptions!$C$112*SUM(E32:E34)+Assumptions!$C$114*SUM(E23:E31)+Assumptions!$C$116*SUM(E9:E22)))</f>
        <v>-5294.5</v>
      </c>
      <c r="G113" s="65" t="n">
        <f aca="false">IF(G$5="A",-Inputs_Actuals!G194,-Assumptions!$F$169*(Assumptions!$C$112*SUM(F33:F35)+Assumptions!$C$114*SUM(F24:F32)+Assumptions!$C$116*SUM(F9:F23)))</f>
        <v>-3062.46</v>
      </c>
      <c r="H113" s="65" t="n">
        <f aca="false">IF(H$5="A",-Inputs_Actuals!H194,-Assumptions!$F$169*(Assumptions!$C$112*SUM(G34:G36)+Assumptions!$C$114*SUM(G25:G33)+Assumptions!$C$116*SUM(G9:G24)))</f>
        <v>-4154.51</v>
      </c>
      <c r="I113" s="65" t="n">
        <f aca="false">IF(I$5="A",-Inputs_Actuals!I194,-Assumptions!$F$169*(Assumptions!$C$112*SUM(H35:H37)+Assumptions!$C$114*SUM(H26:H34)+Assumptions!$C$116*SUM(H9:H25)))</f>
        <v>-4457.1</v>
      </c>
      <c r="J113" s="65" t="n">
        <f aca="false">IF(J$5="A",-Inputs_Actuals!J194,-Assumptions!$F$169*(Assumptions!$C$112*SUM(I36:I38)+Assumptions!$C$114*SUM(I27:I35)+Assumptions!$C$116*SUM(I9:I26)))</f>
        <v>-6443.79</v>
      </c>
      <c r="K113" s="65" t="n">
        <f aca="false">IF(K$5="A",-Inputs_Actuals!K194,-Assumptions!$F$169*(Assumptions!$C$112*SUM(J37:J39)+Assumptions!$C$114*SUM(J28:J36)+Assumptions!$C$116*SUM(J9:J27)))</f>
        <v>-2449.26</v>
      </c>
      <c r="L113" s="65" t="n">
        <f aca="false">IF(L$5="A",-Inputs_Actuals!L194,-Assumptions!$F$169*(Assumptions!$C$112*SUM(K38:K40)+Assumptions!$C$114*SUM(K29:K37)+Assumptions!$C$116*SUM(K9:K28)))</f>
        <v>-4869.72</v>
      </c>
      <c r="M113" s="65" t="n">
        <f aca="false">IF(M$5="A",-Inputs_Actuals!M194,-Assumptions!$F$169*(Assumptions!$C$112*SUM(L39:L41)+Assumptions!$C$114*SUM(L30:L38)+Assumptions!$C$116*SUM(L9:L29)))</f>
        <v>-4208.72821</v>
      </c>
      <c r="N113" s="65" t="n">
        <f aca="false">IF(N$5="A",-Inputs_Actuals!N194,-Assumptions!$F$169*(Assumptions!$C$112*SUM(M40:M42)+Assumptions!$C$114*SUM(M31:M39)+Assumptions!$C$116*SUM(M9:M30)))</f>
        <v>-4319.1975826374</v>
      </c>
      <c r="O113" s="65" t="n">
        <f aca="false">IF(O$5="A",-Inputs_Actuals!O194,-Assumptions!$F$169*(Assumptions!$C$112*SUM(N41:N43)+Assumptions!$C$114*SUM(N32:N40)+Assumptions!$C$116*SUM(N9:N31)))</f>
        <v>-4408.79714302298</v>
      </c>
      <c r="P113" s="65" t="n">
        <f aca="false">IF(P$5="A",-Inputs_Actuals!P194,-Assumptions!$F$169*(Assumptions!$C$112*SUM(O42:O44)+Assumptions!$C$114*SUM(O33:O41)+Assumptions!$C$116*SUM(O9:O32)))</f>
        <v>-4506.41488729677</v>
      </c>
      <c r="Q113" s="65" t="n">
        <f aca="false">IF(Q$5="A",-Inputs_Actuals!Q194,-Assumptions!$F$169*(Assumptions!$C$112*SUM(P43:P45)+Assumptions!$C$114*SUM(P34:P42)+Assumptions!$C$116*SUM(P9:P33)))</f>
        <v>-4520.49937333703</v>
      </c>
      <c r="R113" s="65" t="n">
        <f aca="false">IF(R$5="A",-Inputs_Actuals!R194,-Assumptions!$F$169*(Assumptions!$C$112*SUM(Q44:Q46)+Assumptions!$C$114*SUM(Q35:Q43)+Assumptions!$C$116*SUM(Q9:Q34)))</f>
        <v>-4852.71596094902</v>
      </c>
      <c r="S113" s="65" t="n">
        <f aca="false">IF(S$5="A",-Inputs_Actuals!S194,-Assumptions!$F$169*(Assumptions!$C$112*SUM(R45:R47)+Assumptions!$C$114*SUM(R36:R44)+Assumptions!$C$116*SUM(R9:R35)))</f>
        <v>-4925.80040958323</v>
      </c>
      <c r="T113" s="65" t="n">
        <f aca="false">IF(T$5="A",-Inputs_Actuals!T194,-Assumptions!$F$169*(Assumptions!$C$112*SUM(S46:S48)+Assumptions!$C$114*SUM(S37:S45)+Assumptions!$C$116*SUM(S9:S36)))</f>
        <v>-5002.88723512296</v>
      </c>
      <c r="U113" s="65" t="n">
        <f aca="false">IF(U$5="A",-Inputs_Actuals!U194,-Assumptions!$F$169*(Assumptions!$C$112*SUM(T47:T49)+Assumptions!$C$114*SUM(T38:T46)+Assumptions!$C$116*SUM(T9:T37)))</f>
        <v>-5043.65016148281</v>
      </c>
      <c r="V113" s="65" t="n">
        <f aca="false">IF(V$5="A",-Inputs_Actuals!V194,-Assumptions!$F$169*(Assumptions!$C$112*SUM(U48:U50)+Assumptions!$C$114*SUM(U39:U47)+Assumptions!$C$116*SUM(U9:U38)))</f>
        <v>-5101.29694620687</v>
      </c>
      <c r="W113" s="65" t="n">
        <f aca="false">IF(W$5="A",-Inputs_Actuals!W194,-Assumptions!$F$169*(Assumptions!$C$112*SUM(V49:V51)+Assumptions!$C$114*SUM(V40:V48)+Assumptions!$C$116*SUM(V9:V39)))</f>
        <v>-5133.37414141625</v>
      </c>
      <c r="X113" s="65" t="n">
        <f aca="false">IF(X$5="A",-Inputs_Actuals!X194,-Assumptions!$F$169*(Assumptions!$C$112*SUM(W50:W52)+Assumptions!$C$114*SUM(W41:W49)+Assumptions!$C$116*SUM(W9:W40)))</f>
        <v>-5145.7362256296</v>
      </c>
      <c r="Y113" s="65" t="n">
        <f aca="false">IF(Y$5="A",-Inputs_Actuals!Y194,-Assumptions!$F$169*(Assumptions!$C$112*SUM(X51:X53)+Assumptions!$C$114*SUM(X42:X50)+Assumptions!$C$116*SUM(X9:X41)))</f>
        <v>-5125.93174862178</v>
      </c>
      <c r="Z113" s="65" t="n">
        <f aca="false">IF(Z$5="A",-Inputs_Actuals!Z194,-Assumptions!$F$169*(Assumptions!$C$112*SUM(Y52:Y54)+Assumptions!$C$114*SUM(Y43:Y51)+Assumptions!$C$116*SUM(Y9:Y42)))</f>
        <v>-5202.28996824432</v>
      </c>
      <c r="AA113" s="65" t="n">
        <f aca="false">IF(AA$5="A",-Inputs_Actuals!AA194,-Assumptions!$F$169*(Assumptions!$C$112*SUM(Z53:Z55)+Assumptions!$C$114*SUM(Z44:Z52)+Assumptions!$C$116*SUM(Z9:Z43)))</f>
        <v>-5294.09374658982</v>
      </c>
      <c r="AB113" s="65" t="n">
        <f aca="false">IF(AB$5="A",-Inputs_Actuals!AB194,-Assumptions!$F$169*(Assumptions!$C$112*SUM(AA54:AA56)+Assumptions!$C$114*SUM(AA45:AA53)+Assumptions!$C$116*SUM(AA9:AA44)))</f>
        <v>-5374.99385923222</v>
      </c>
    </row>
    <row r="114" customFormat="false" ht="15" hidden="false" customHeight="false" outlineLevel="0" collapsed="false">
      <c r="A114" s="28" t="s">
        <v>927</v>
      </c>
      <c r="B114" s="63" t="s">
        <v>928</v>
      </c>
      <c r="C114" s="64" t="n">
        <f aca="false">SUM(E114:P114)</f>
        <v>23278.4339675832</v>
      </c>
      <c r="D114" s="64" t="n">
        <f aca="false">SUM(Q114:AB114)</f>
        <v>29413.1345307749</v>
      </c>
      <c r="E114" s="65" t="n">
        <f aca="false">Inputs_Actuals!E191</f>
        <v>1668.66</v>
      </c>
      <c r="F114" s="65" t="n">
        <f aca="false">IF(F$5="A",Inputs_Actuals!F191,Assumptions!$C$118*Assumptions!$F$171*E58)</f>
        <v>1737.76</v>
      </c>
      <c r="G114" s="65" t="n">
        <f aca="false">IF(G$5="A",Inputs_Actuals!G191,Assumptions!$C$118*Assumptions!$F$171*F58)</f>
        <v>1798.7</v>
      </c>
      <c r="H114" s="65" t="n">
        <f aca="false">IF(H$5="A",Inputs_Actuals!H191,Assumptions!$C$118*Assumptions!$F$171*G58)</f>
        <v>1964.42</v>
      </c>
      <c r="I114" s="65" t="n">
        <f aca="false">IF(I$5="A",Inputs_Actuals!I191,Assumptions!$C$118*Assumptions!$F$171*H58)</f>
        <v>2026.24</v>
      </c>
      <c r="J114" s="65" t="n">
        <f aca="false">IF(J$5="A",Inputs_Actuals!J191,Assumptions!$C$118*Assumptions!$F$171*I58)</f>
        <v>1931.02</v>
      </c>
      <c r="K114" s="65" t="n">
        <f aca="false">IF(K$5="A",Inputs_Actuals!K191,Assumptions!$C$118*Assumptions!$F$171*J58)</f>
        <v>1751.22</v>
      </c>
      <c r="L114" s="65" t="n">
        <f aca="false">IF(L$5="A",Inputs_Actuals!L191,Assumptions!$C$118*Assumptions!$F$171*K58)</f>
        <v>2029.07</v>
      </c>
      <c r="M114" s="65" t="n">
        <f aca="false">IF(M$5="A",Inputs_Actuals!M191,Assumptions!$C$118*Assumptions!$F$171*L58)</f>
        <v>2034.8286</v>
      </c>
      <c r="N114" s="65" t="n">
        <f aca="false">IF(N$5="A",Inputs_Actuals!N191,Assumptions!$C$118*Assumptions!$F$171*M58)</f>
        <v>2073.860690895</v>
      </c>
      <c r="O114" s="65" t="n">
        <f aca="false">IF(O$5="A",Inputs_Actuals!O191,Assumptions!$C$118*Assumptions!$F$171*N58)</f>
        <v>2114.59480742268</v>
      </c>
      <c r="P114" s="65" t="n">
        <f aca="false">IF(P$5="A",Inputs_Actuals!P191,Assumptions!$C$118*Assumptions!$F$171*O58)</f>
        <v>2148.05986926547</v>
      </c>
      <c r="Q114" s="65" t="n">
        <f aca="false">IF(Q$5="A",Inputs_Actuals!Q191,Assumptions!$C$118*Assumptions!$F$171*P58)</f>
        <v>2169.51807766445</v>
      </c>
      <c r="R114" s="65" t="n">
        <f aca="false">IF(R$5="A",Inputs_Actuals!R191,Assumptions!$C$118*Assumptions!$F$171*Q58)</f>
        <v>2326.05623692092</v>
      </c>
      <c r="S114" s="65" t="n">
        <f aca="false">IF(S$5="A",Inputs_Actuals!S191,Assumptions!$C$118*Assumptions!$F$171*R58)</f>
        <v>2363.62456052748</v>
      </c>
      <c r="T114" s="65" t="n">
        <f aca="false">IF(T$5="A",Inputs_Actuals!T191,Assumptions!$C$118*Assumptions!$F$171*S58)</f>
        <v>2398.57641029002</v>
      </c>
      <c r="U114" s="65" t="n">
        <f aca="false">IF(U$5="A",Inputs_Actuals!U191,Assumptions!$C$118*Assumptions!$F$171*T58)</f>
        <v>2429.47791088297</v>
      </c>
      <c r="V114" s="65" t="n">
        <f aca="false">IF(V$5="A",Inputs_Actuals!V191,Assumptions!$C$118*Assumptions!$F$171*U58)</f>
        <v>2460.1368097527</v>
      </c>
      <c r="W114" s="65" t="n">
        <f aca="false">IF(W$5="A",Inputs_Actuals!W191,Assumptions!$C$118*Assumptions!$F$171*V58)</f>
        <v>2486.92372217604</v>
      </c>
      <c r="X114" s="65" t="n">
        <f aca="false">IF(X$5="A",Inputs_Actuals!X191,Assumptions!$C$118*Assumptions!$F$171*W58)</f>
        <v>2506.62640179923</v>
      </c>
      <c r="Y114" s="65" t="n">
        <f aca="false">IF(Y$5="A",Inputs_Actuals!Y191,Assumptions!$C$118*Assumptions!$F$171*X58)</f>
        <v>2514.58255176591</v>
      </c>
      <c r="Z114" s="65" t="n">
        <f aca="false">IF(Z$5="A",Inputs_Actuals!Z191,Assumptions!$C$118*Assumptions!$F$171*Y58)</f>
        <v>2550.41326749098</v>
      </c>
      <c r="AA114" s="65" t="n">
        <f aca="false">IF(AA$5="A",Inputs_Actuals!AA191,Assumptions!$C$118*Assumptions!$F$171*Z58)</f>
        <v>2588.41635577936</v>
      </c>
      <c r="AB114" s="65" t="n">
        <f aca="false">IF(AB$5="A",Inputs_Actuals!AB191,Assumptions!$C$118*Assumptions!$F$171*AA58)</f>
        <v>2618.78222572484</v>
      </c>
    </row>
    <row r="115" customFormat="false" ht="15" hidden="false" customHeight="false" outlineLevel="0" collapsed="false">
      <c r="A115" s="28" t="s">
        <v>929</v>
      </c>
      <c r="B115" s="63" t="s">
        <v>928</v>
      </c>
      <c r="C115" s="64" t="n">
        <f aca="false">SUM(E115:P115)</f>
        <v>-10122.3388432499</v>
      </c>
      <c r="D115" s="64" t="n">
        <f aca="false">SUM(Q115:AB115)</f>
        <v>-12605.6290846178</v>
      </c>
      <c r="E115" s="65" t="n">
        <f aca="false">-Inputs_Actuals!E193</f>
        <v>-825.26</v>
      </c>
      <c r="F115" s="65" t="n">
        <f aca="false">IF(F$5="A",-Inputs_Actuals!F193,-Assumptions!$C$119*Assumptions!$F$169*E58)</f>
        <v>-670.71</v>
      </c>
      <c r="G115" s="65" t="n">
        <f aca="false">IF(G$5="A",-Inputs_Actuals!G193,-Assumptions!$C$119*Assumptions!$F$169*F58)</f>
        <v>-1027.85</v>
      </c>
      <c r="H115" s="65" t="n">
        <f aca="false">IF(H$5="A",-Inputs_Actuals!H193,-Assumptions!$C$119*Assumptions!$F$169*G58)</f>
        <v>-797.3</v>
      </c>
      <c r="I115" s="65" t="n">
        <f aca="false">IF(I$5="A",-Inputs_Actuals!I193,-Assumptions!$C$119*Assumptions!$F$169*H58)</f>
        <v>-665.37</v>
      </c>
      <c r="J115" s="65" t="n">
        <f aca="false">IF(J$5="A",-Inputs_Actuals!J193,-Assumptions!$C$119*Assumptions!$F$169*I58)</f>
        <v>-789.56</v>
      </c>
      <c r="K115" s="65" t="n">
        <f aca="false">IF(K$5="A",-Inputs_Actuals!K193,-Assumptions!$C$119*Assumptions!$F$169*J58)</f>
        <v>-901.1</v>
      </c>
      <c r="L115" s="65" t="n">
        <f aca="false">IF(L$5="A",-Inputs_Actuals!L193,-Assumptions!$C$119*Assumptions!$F$169*K58)</f>
        <v>-857.47</v>
      </c>
      <c r="M115" s="65" t="n">
        <f aca="false">IF(M$5="A",-Inputs_Actuals!M193,-Assumptions!$C$119*Assumptions!$F$169*L58)</f>
        <v>-872.0694</v>
      </c>
      <c r="N115" s="65" t="n">
        <f aca="false">IF(N$5="A",-Inputs_Actuals!N193,-Assumptions!$C$119*Assumptions!$F$169*M58)</f>
        <v>-888.797438955</v>
      </c>
      <c r="O115" s="65" t="n">
        <f aca="false">IF(O$5="A",-Inputs_Actuals!O193,-Assumptions!$C$119*Assumptions!$F$169*N58)</f>
        <v>-906.254917466862</v>
      </c>
      <c r="P115" s="65" t="n">
        <f aca="false">IF(P$5="A",-Inputs_Actuals!P193,-Assumptions!$C$119*Assumptions!$F$169*O58)</f>
        <v>-920.597086828059</v>
      </c>
      <c r="Q115" s="65" t="n">
        <f aca="false">IF(Q$5="A",-Inputs_Actuals!Q193,-Assumptions!$C$119*Assumptions!$F$169*P58)</f>
        <v>-929.793461856192</v>
      </c>
      <c r="R115" s="65" t="n">
        <f aca="false">IF(R$5="A",-Inputs_Actuals!R193,-Assumptions!$C$119*Assumptions!$F$169*Q58)</f>
        <v>-996.881244394679</v>
      </c>
      <c r="S115" s="65" t="n">
        <f aca="false">IF(S$5="A",-Inputs_Actuals!S193,-Assumptions!$C$119*Assumptions!$F$169*R58)</f>
        <v>-1012.98195451178</v>
      </c>
      <c r="T115" s="65" t="n">
        <f aca="false">IF(T$5="A",-Inputs_Actuals!T193,-Assumptions!$C$119*Assumptions!$F$169*S58)</f>
        <v>-1027.96131869572</v>
      </c>
      <c r="U115" s="65" t="n">
        <f aca="false">IF(U$5="A",-Inputs_Actuals!U193,-Assumptions!$C$119*Assumptions!$F$169*T58)</f>
        <v>-1041.20481894984</v>
      </c>
      <c r="V115" s="65" t="n">
        <f aca="false">IF(V$5="A",-Inputs_Actuals!V193,-Assumptions!$C$119*Assumptions!$F$169*U58)</f>
        <v>-1054.34434703687</v>
      </c>
      <c r="W115" s="65" t="n">
        <f aca="false">IF(W$5="A",-Inputs_Actuals!W193,-Assumptions!$C$119*Assumptions!$F$169*V58)</f>
        <v>-1065.82445236116</v>
      </c>
      <c r="X115" s="65" t="n">
        <f aca="false">IF(X$5="A",-Inputs_Actuals!X193,-Assumptions!$C$119*Assumptions!$F$169*W58)</f>
        <v>-1074.26845791395</v>
      </c>
      <c r="Y115" s="65" t="n">
        <f aca="false">IF(Y$5="A",-Inputs_Actuals!Y193,-Assumptions!$C$119*Assumptions!$F$169*X58)</f>
        <v>-1077.6782364711</v>
      </c>
      <c r="Z115" s="65" t="n">
        <f aca="false">IF(Z$5="A",-Inputs_Actuals!Z193,-Assumptions!$C$119*Assumptions!$F$169*Y58)</f>
        <v>-1093.03425749613</v>
      </c>
      <c r="AA115" s="65" t="n">
        <f aca="false">IF(AA$5="A",-Inputs_Actuals!AA193,-Assumptions!$C$119*Assumptions!$F$169*Z58)</f>
        <v>-1109.32129533401</v>
      </c>
      <c r="AB115" s="65" t="n">
        <f aca="false">IF(AB$5="A",-Inputs_Actuals!AB193,-Assumptions!$C$119*Assumptions!$F$169*AA58)</f>
        <v>-1122.33523959636</v>
      </c>
    </row>
    <row r="116" customFormat="false" ht="15" hidden="false" customHeight="false" outlineLevel="0" collapsed="false">
      <c r="A116" s="28" t="s">
        <v>930</v>
      </c>
      <c r="B116" s="63" t="s">
        <v>931</v>
      </c>
      <c r="C116" s="64" t="n">
        <f aca="false">SUM(E116:P116)</f>
        <v>8038.61</v>
      </c>
      <c r="D116" s="64" t="n">
        <f aca="false">SUM(Q116:AB116)</f>
        <v>10166.9997271924</v>
      </c>
      <c r="E116" s="65" t="n">
        <f aca="false">Inputs_Actuals!E192</f>
        <v>8038.61</v>
      </c>
      <c r="F116" s="65" t="n">
        <f aca="false">IF(F$5="A",Inputs_Actuals!F192,Assumptions!F$198*(E58+F113+F114+F115))</f>
        <v>0</v>
      </c>
      <c r="G116" s="65" t="n">
        <f aca="false">IF(G$5="A",Inputs_Actuals!G192,Assumptions!G$198*(F58+G113+G114+G115))</f>
        <v>0</v>
      </c>
      <c r="H116" s="65" t="n">
        <f aca="false">IF(H$5="A",Inputs_Actuals!H192,Assumptions!H$198*(G58+H113+H114+H115))</f>
        <v>0</v>
      </c>
      <c r="I116" s="65" t="n">
        <f aca="false">IF(I$5="A",Inputs_Actuals!I192,Assumptions!I$198*(H58+I113+I114+I115))</f>
        <v>0</v>
      </c>
      <c r="J116" s="65" t="n">
        <f aca="false">IF(J$5="A",Inputs_Actuals!J192,Assumptions!J$198*(I58+J113+J114+J115))</f>
        <v>0</v>
      </c>
      <c r="K116" s="65" t="n">
        <f aca="false">IF(K$5="A",Inputs_Actuals!K192,Assumptions!K$198*(J58+K113+K114+K115))</f>
        <v>0</v>
      </c>
      <c r="L116" s="65" t="n">
        <f aca="false">IF(L$5="A",Inputs_Actuals!L192,Assumptions!L$198*(K58+L113+L114+L115))</f>
        <v>0</v>
      </c>
      <c r="M116" s="65" t="n">
        <f aca="false">IF(M$5="A",Inputs_Actuals!M192,Assumptions!M$198*(L58+M113+M114+M115))</f>
        <v>0</v>
      </c>
      <c r="N116" s="65" t="n">
        <f aca="false">IF(N$5="A",Inputs_Actuals!N192,Assumptions!N$198*(M58+N113+N114+N115))</f>
        <v>0</v>
      </c>
      <c r="O116" s="65" t="n">
        <f aca="false">IF(O$5="A",Inputs_Actuals!O192,Assumptions!O$198*(N58+O113+O114+O115))</f>
        <v>0</v>
      </c>
      <c r="P116" s="65" t="n">
        <f aca="false">IF(P$5="A",Inputs_Actuals!P192,Assumptions!P$198*(O58+P113+P114+P115))</f>
        <v>0</v>
      </c>
      <c r="Q116" s="65" t="n">
        <f aca="false">IF(Q$5="A",Inputs_Actuals!Q192,Assumptions!Q$198*(P58+Q113+Q114+Q115))</f>
        <v>10166.9997271924</v>
      </c>
      <c r="R116" s="65" t="n">
        <f aca="false">IF(R$5="A",Inputs_Actuals!R192,Assumptions!R$198*(Q58+R113+R114+R115))</f>
        <v>0</v>
      </c>
      <c r="S116" s="65" t="n">
        <f aca="false">IF(S$5="A",Inputs_Actuals!S192,Assumptions!S$198*(R58+S113+S114+S115))</f>
        <v>0</v>
      </c>
      <c r="T116" s="65" t="n">
        <f aca="false">IF(T$5="A",Inputs_Actuals!T192,Assumptions!T$198*(S58+T113+T114+T115))</f>
        <v>0</v>
      </c>
      <c r="U116" s="65" t="n">
        <f aca="false">IF(U$5="A",Inputs_Actuals!U192,Assumptions!U$198*(T58+U113+U114+U115))</f>
        <v>0</v>
      </c>
      <c r="V116" s="65" t="n">
        <f aca="false">IF(V$5="A",Inputs_Actuals!V192,Assumptions!V$198*(U58+V113+V114+V115))</f>
        <v>0</v>
      </c>
      <c r="W116" s="65" t="n">
        <f aca="false">IF(W$5="A",Inputs_Actuals!W192,Assumptions!W$198*(V58+W113+W114+W115))</f>
        <v>0</v>
      </c>
      <c r="X116" s="65" t="n">
        <f aca="false">IF(X$5="A",Inputs_Actuals!X192,Assumptions!X$198*(W58+X113+X114+X115))</f>
        <v>0</v>
      </c>
      <c r="Y116" s="65" t="n">
        <f aca="false">IF(Y$5="A",Inputs_Actuals!Y192,Assumptions!Y$198*(X58+Y113+Y114+Y115))</f>
        <v>0</v>
      </c>
      <c r="Z116" s="65" t="n">
        <f aca="false">IF(Z$5="A",Inputs_Actuals!Z192,Assumptions!Z$198*(Y58+Z113+Z114+Z115))</f>
        <v>0</v>
      </c>
      <c r="AA116" s="65" t="n">
        <f aca="false">IF(AA$5="A",Inputs_Actuals!AA192,Assumptions!AA$198*(Z58+AA113+AA114+AA115))</f>
        <v>0</v>
      </c>
      <c r="AB116" s="65" t="n">
        <f aca="false">IF(AB$5="A",Inputs_Actuals!AB192,Assumptions!AB$198*(AA58+AB113+AB114+AB115))</f>
        <v>0</v>
      </c>
    </row>
    <row r="117" customFormat="false" ht="15" hidden="false" customHeight="false" outlineLevel="0" collapsed="false">
      <c r="A117" s="59" t="s">
        <v>932</v>
      </c>
      <c r="B117" s="60"/>
      <c r="C117" s="61" t="n">
        <f aca="false">P117</f>
        <v>206620.769301376</v>
      </c>
      <c r="D117" s="61" t="n">
        <f aca="false">AB117</f>
        <v>251118.00469831</v>
      </c>
      <c r="E117" s="61" t="n">
        <f aca="false">E111+E112+E113+E114+E115+E116</f>
        <v>174978.24</v>
      </c>
      <c r="F117" s="61" t="n">
        <f aca="false">F111+F112+F113+F114+F115+F116</f>
        <v>177795.19</v>
      </c>
      <c r="G117" s="61" t="n">
        <f aca="false">G111+G112+G113+G114+G115+G116</f>
        <v>182441.8</v>
      </c>
      <c r="H117" s="61" t="n">
        <f aca="false">H111+H112+H113+H114+H115+H116</f>
        <v>185266.36</v>
      </c>
      <c r="I117" s="61" t="n">
        <f aca="false">I111+I112+I113+I114+I115+I116</f>
        <v>186670.07</v>
      </c>
      <c r="J117" s="61" t="n">
        <f aca="false">J111+J112+J113+J114+J115+J116</f>
        <v>188010.67</v>
      </c>
      <c r="K117" s="61" t="n">
        <f aca="false">K111+K112+K113+K114+K115+K116</f>
        <v>193092.08</v>
      </c>
      <c r="L117" s="61" t="n">
        <f aca="false">L111+L112+L113+L114+L115+L116</f>
        <v>193793.2</v>
      </c>
      <c r="M117" s="61" t="n">
        <f aca="false">M111+M112+M113+M114+M115+M116</f>
        <v>197510.54199</v>
      </c>
      <c r="N117" s="61" t="n">
        <f aca="false">N111+N112+N113+N114+N115+N116</f>
        <v>201389.981659303</v>
      </c>
      <c r="O117" s="61" t="n">
        <f aca="false">O111+O112+O113+O114+O115+O116</f>
        <v>204577.130406235</v>
      </c>
      <c r="P117" s="61" t="n">
        <f aca="false">P111+P112+P113+P114+P115+P116</f>
        <v>206620.769301376</v>
      </c>
      <c r="Q117" s="61" t="n">
        <f aca="false">Q111+Q112+Q113+Q114+Q115+Q116</f>
        <v>221529.16542104</v>
      </c>
      <c r="R117" s="61" t="n">
        <f aca="false">R111+R112+R113+R114+R115+R116</f>
        <v>225107.101002617</v>
      </c>
      <c r="S117" s="61" t="n">
        <f aca="false">S111+S112+S113+S114+S115+S116</f>
        <v>228435.848599049</v>
      </c>
      <c r="T117" s="61" t="n">
        <f aca="false">T111+T112+T113+T114+T115+T116</f>
        <v>231378.848655521</v>
      </c>
      <c r="U117" s="61" t="n">
        <f aca="false">U111+U112+U113+U114+U115+U116</f>
        <v>234298.743785971</v>
      </c>
      <c r="V117" s="61" t="n">
        <f aca="false">V111+V112+V113+V114+V115+V116</f>
        <v>236849.87830248</v>
      </c>
      <c r="W117" s="61" t="n">
        <f aca="false">W111+W112+W113+W114+W115+W116</f>
        <v>238726.323980879</v>
      </c>
      <c r="X117" s="61" t="n">
        <f aca="false">X111+X112+X113+X114+X115+X116</f>
        <v>239484.052549134</v>
      </c>
      <c r="Y117" s="61" t="n">
        <f aca="false">Y111+Y112+Y113+Y114+Y115+Y116</f>
        <v>242896.501665807</v>
      </c>
      <c r="Z117" s="61" t="n">
        <f aca="false">Z111+Z112+Z113+Z114+Z115+Z116</f>
        <v>246515.843407558</v>
      </c>
      <c r="AA117" s="61" t="n">
        <f aca="false">AA111+AA112+AA113+AA114+AA115+AA116</f>
        <v>249407.831021413</v>
      </c>
      <c r="AB117" s="61" t="n">
        <f aca="false">AB111+AB112+AB113+AB114+AB115+AB116</f>
        <v>251118.00469831</v>
      </c>
    </row>
    <row r="118" customFormat="false" ht="15" hidden="false" customHeight="false" outlineLevel="0" collapsed="false">
      <c r="A118" s="28" t="s">
        <v>933</v>
      </c>
      <c r="B118" s="63"/>
      <c r="C118" s="64" t="n">
        <f aca="false">SUM(E118:P118)</f>
        <v>0</v>
      </c>
      <c r="D118" s="64" t="n">
        <f aca="false">SUM(Q118:AB118)</f>
        <v>0</v>
      </c>
      <c r="E118" s="74" t="n">
        <f aca="false">ROUND(E117-E58,2)</f>
        <v>0</v>
      </c>
      <c r="F118" s="74" t="n">
        <f aca="false">ROUND(F117-F58,2)</f>
        <v>0</v>
      </c>
      <c r="G118" s="74" t="n">
        <f aca="false">ROUND(G117-G58,2)</f>
        <v>0</v>
      </c>
      <c r="H118" s="74" t="n">
        <f aca="false">ROUND(H117-H58,2)</f>
        <v>0</v>
      </c>
      <c r="I118" s="74" t="n">
        <f aca="false">ROUND(I117-I58,2)</f>
        <v>0</v>
      </c>
      <c r="J118" s="74" t="n">
        <f aca="false">ROUND(J117-J58,2)</f>
        <v>0</v>
      </c>
      <c r="K118" s="74" t="n">
        <f aca="false">ROUND(K117-K58,2)</f>
        <v>0</v>
      </c>
      <c r="L118" s="74" t="n">
        <f aca="false">ROUND(L117-L58,2)</f>
        <v>0</v>
      </c>
      <c r="M118" s="74" t="n">
        <f aca="false">ROUND(M117-M58,2)</f>
        <v>0</v>
      </c>
      <c r="N118" s="74" t="n">
        <f aca="false">ROUND(N117-N58,2)</f>
        <v>0</v>
      </c>
      <c r="O118" s="74" t="n">
        <f aca="false">ROUND(O117-O58,2)</f>
        <v>0</v>
      </c>
      <c r="P118" s="74" t="n">
        <f aca="false">ROUND(P117-P58,2)</f>
        <v>0</v>
      </c>
      <c r="Q118" s="74" t="n">
        <f aca="false">ROUND(Q117-Q58,2)</f>
        <v>0</v>
      </c>
      <c r="R118" s="74" t="n">
        <f aca="false">ROUND(R117-R58,2)</f>
        <v>0</v>
      </c>
      <c r="S118" s="74" t="n">
        <f aca="false">ROUND(S117-S58,2)</f>
        <v>0</v>
      </c>
      <c r="T118" s="74" t="n">
        <f aca="false">ROUND(T117-T58,2)</f>
        <v>0</v>
      </c>
      <c r="U118" s="74" t="n">
        <f aca="false">ROUND(U117-U58,2)</f>
        <v>0</v>
      </c>
      <c r="V118" s="74" t="n">
        <f aca="false">ROUND(V117-V58,2)</f>
        <v>0</v>
      </c>
      <c r="W118" s="74" t="n">
        <f aca="false">ROUND(W117-W58,2)</f>
        <v>0</v>
      </c>
      <c r="X118" s="74" t="n">
        <f aca="false">ROUND(X117-X58,2)</f>
        <v>0</v>
      </c>
      <c r="Y118" s="74" t="n">
        <f aca="false">ROUND(Y117-Y58,2)</f>
        <v>0</v>
      </c>
      <c r="Z118" s="74" t="n">
        <f aca="false">ROUND(Z117-Z58,2)</f>
        <v>0</v>
      </c>
      <c r="AA118" s="74" t="n">
        <f aca="false">ROUND(AA117-AA58,2)</f>
        <v>0</v>
      </c>
      <c r="AB118" s="74" t="n">
        <f aca="false">ROUND(AB117-AB58,2)</f>
        <v>0</v>
      </c>
    </row>
    <row r="119" customFormat="false" ht="15" hidden="false" customHeight="false" outlineLevel="0" collapsed="false">
      <c r="A119" s="28" t="s">
        <v>739</v>
      </c>
      <c r="B119" s="63" t="s">
        <v>58</v>
      </c>
      <c r="C119" s="68" t="n">
        <f aca="false">SUM(E119:P119)</f>
        <v>361.126</v>
      </c>
      <c r="D119" s="68" t="n">
        <f aca="false">SUM(Q119:AB119)</f>
        <v>360</v>
      </c>
      <c r="E119" s="69" t="n">
        <f aca="false">IF(E$5="A",Inputs_Actuals!E195,New_Business!E9)</f>
        <v>31</v>
      </c>
      <c r="F119" s="69" t="n">
        <f aca="false">IF(F$5="A",Inputs_Actuals!F195,New_Business!F9)</f>
        <v>35</v>
      </c>
      <c r="G119" s="69" t="n">
        <f aca="false">IF(G$5="A",Inputs_Actuals!G195,New_Business!G9)</f>
        <v>35</v>
      </c>
      <c r="H119" s="69" t="n">
        <f aca="false">IF(H$5="A",Inputs_Actuals!H195,New_Business!H9)</f>
        <v>29</v>
      </c>
      <c r="I119" s="69" t="n">
        <f aca="false">IF(I$5="A",Inputs_Actuals!I195,New_Business!I9)</f>
        <v>21</v>
      </c>
      <c r="J119" s="69" t="n">
        <f aca="false">IF(J$5="A",Inputs_Actuals!J195,New_Business!J9)</f>
        <v>32</v>
      </c>
      <c r="K119" s="69" t="n">
        <f aca="false">IF(K$5="A",Inputs_Actuals!K195,New_Business!K9)</f>
        <v>34</v>
      </c>
      <c r="L119" s="69" t="n">
        <f aca="false">IF(L$5="A",Inputs_Actuals!L195,New_Business!L9)</f>
        <v>21</v>
      </c>
      <c r="M119" s="69" t="n">
        <f aca="false">IF(M$5="A",Inputs_Actuals!M195,New_Business!M9)</f>
        <v>32.673</v>
      </c>
      <c r="N119" s="69" t="n">
        <f aca="false">IF(N$5="A",Inputs_Actuals!N195,New_Business!N9)</f>
        <v>33.882</v>
      </c>
      <c r="O119" s="69" t="n">
        <f aca="false">IF(O$5="A",Inputs_Actuals!O195,New_Business!O9)</f>
        <v>30.858</v>
      </c>
      <c r="P119" s="69" t="n">
        <f aca="false">IF(P$5="A",Inputs_Actuals!P195,New_Business!P9)</f>
        <v>25.713</v>
      </c>
      <c r="Q119" s="69" t="n">
        <f aca="false">IF(Q$5="A",Inputs_Actuals!Q195,New_Business!Q9)</f>
        <v>36.909</v>
      </c>
      <c r="R119" s="69" t="n">
        <f aca="false">IF(R$5="A",Inputs_Actuals!R195,New_Business!R9)</f>
        <v>32.673</v>
      </c>
      <c r="S119" s="69" t="n">
        <f aca="false">IF(S$5="A",Inputs_Actuals!S195,New_Business!S9)</f>
        <v>31.764</v>
      </c>
      <c r="T119" s="69" t="n">
        <f aca="false">IF(T$5="A",Inputs_Actuals!T195,New_Business!T9)</f>
        <v>30.252</v>
      </c>
      <c r="U119" s="69" t="n">
        <f aca="false">IF(U$5="A",Inputs_Actuals!U195,New_Business!U9)</f>
        <v>30.252</v>
      </c>
      <c r="V119" s="69" t="n">
        <f aca="false">IF(V$5="A",Inputs_Actuals!V195,New_Business!V9)</f>
        <v>28.74</v>
      </c>
      <c r="W119" s="69" t="n">
        <f aca="false">IF(W$5="A",Inputs_Actuals!W195,New_Business!W9)</f>
        <v>25.713</v>
      </c>
      <c r="X119" s="69" t="n">
        <f aca="false">IF(X$5="A",Inputs_Actuals!X195,New_Business!X9)</f>
        <v>20.571</v>
      </c>
      <c r="Y119" s="69" t="n">
        <f aca="false">IF(Y$5="A",Inputs_Actuals!Y195,New_Business!Y9)</f>
        <v>32.673</v>
      </c>
      <c r="Z119" s="69" t="n">
        <f aca="false">IF(Z$5="A",Inputs_Actuals!Z195,New_Business!Z9)</f>
        <v>33.882</v>
      </c>
      <c r="AA119" s="69" t="n">
        <f aca="false">IF(AA$5="A",Inputs_Actuals!AA195,New_Business!AA9)</f>
        <v>30.858</v>
      </c>
      <c r="AB119" s="69" t="n">
        <f aca="false">IF(AB$5="A",Inputs_Actuals!AB195,New_Business!AB9)</f>
        <v>25.713</v>
      </c>
    </row>
    <row r="120" customFormat="false" ht="15" hidden="false" customHeight="false" outlineLevel="0" collapsed="false">
      <c r="A120" s="28" t="s">
        <v>740</v>
      </c>
      <c r="B120" s="63"/>
      <c r="C120" s="68" t="n">
        <f aca="false">SUM(E120:P120)</f>
        <v>-259.319245734202</v>
      </c>
      <c r="D120" s="68" t="n">
        <f aca="false">SUM(Q120:AB120)</f>
        <v>-272.688080518374</v>
      </c>
      <c r="E120" s="69" t="n">
        <f aca="false">-Inputs_Actuals!E196</f>
        <v>-21</v>
      </c>
      <c r="F120" s="69" t="n">
        <f aca="false">IF(F$5="A",-Inputs_Actuals!F196,-Assumptions!$F$169*(Assumptions!$C$113*SUM(E83:E85)+Assumptions!$C$115*SUM(E74:E82)+Assumptions!$C$117*SUM(E60:E73)))</f>
        <v>-25</v>
      </c>
      <c r="G120" s="69" t="n">
        <f aca="false">IF(G$5="A",-Inputs_Actuals!G196,-Assumptions!$F$169*(Assumptions!$C$113*SUM(F84:F86)+Assumptions!$C$115*SUM(F75:F83)+Assumptions!$C$117*SUM(F60:F74)))</f>
        <v>-16</v>
      </c>
      <c r="H120" s="69" t="n">
        <f aca="false">IF(H$5="A",-Inputs_Actuals!H196,-Assumptions!$F$169*(Assumptions!$C$113*SUM(G85:G87)+Assumptions!$C$115*SUM(G76:G84)+Assumptions!$C$117*SUM(G60:G75)))</f>
        <v>-21</v>
      </c>
      <c r="I120" s="69" t="n">
        <f aca="false">IF(I$5="A",-Inputs_Actuals!I196,-Assumptions!$F$169*(Assumptions!$C$113*SUM(H86:H88)+Assumptions!$C$115*SUM(H77:H85)+Assumptions!$C$117*SUM(H60:H76)))</f>
        <v>-23</v>
      </c>
      <c r="J120" s="69" t="n">
        <f aca="false">IF(J$5="A",-Inputs_Actuals!J196,-Assumptions!$F$169*(Assumptions!$C$113*SUM(I87:I89)+Assumptions!$C$115*SUM(I78:I86)+Assumptions!$C$117*SUM(I60:I77)))</f>
        <v>-32</v>
      </c>
      <c r="K120" s="69" t="n">
        <f aca="false">IF(K$5="A",-Inputs_Actuals!K196,-Assumptions!$F$169*(Assumptions!$C$113*SUM(J88:J90)+Assumptions!$C$115*SUM(J79:J87)+Assumptions!$C$117*SUM(J60:J78)))</f>
        <v>-12</v>
      </c>
      <c r="L120" s="69" t="n">
        <f aca="false">IF(L$5="A",-Inputs_Actuals!L196,-Assumptions!$F$169*(Assumptions!$C$113*SUM(K89:K91)+Assumptions!$C$115*SUM(K80:K88)+Assumptions!$C$117*SUM(K60:K79)))</f>
        <v>-25</v>
      </c>
      <c r="M120" s="69" t="n">
        <f aca="false">IF(M$5="A",-Inputs_Actuals!M196,-Assumptions!$F$169*(Assumptions!$C$113*SUM(L90:L92)+Assumptions!$C$115*SUM(L81:L89)+Assumptions!$C$117*SUM(L60:L80)))</f>
        <v>-20.441</v>
      </c>
      <c r="N120" s="69" t="n">
        <f aca="false">IF(N$5="A",-Inputs_Actuals!N196,-Assumptions!$F$169*(Assumptions!$C$113*SUM(M91:M93)+Assumptions!$C$115*SUM(M82:M90)+Assumptions!$C$117*SUM(M60:M81)))</f>
        <v>-20.924098</v>
      </c>
      <c r="O120" s="69" t="n">
        <f aca="false">IF(O$5="A",-Inputs_Actuals!O196,-Assumptions!$F$169*(Assumptions!$C$113*SUM(N92:N94)+Assumptions!$C$115*SUM(N83:N91)+Assumptions!$C$117*SUM(N60:N82)))</f>
        <v>-21.27508038</v>
      </c>
      <c r="P120" s="69" t="n">
        <f aca="false">IF(P$5="A",-Inputs_Actuals!P196,-Assumptions!$F$169*(Assumptions!$C$113*SUM(O93:O95)+Assumptions!$C$115*SUM(O84:O92)+Assumptions!$C$117*SUM(O60:O83)))</f>
        <v>-21.679067354202</v>
      </c>
      <c r="Q120" s="69" t="n">
        <f aca="false">IF(Q$5="A",-Inputs_Actuals!Q196,-Assumptions!$F$169*(Assumptions!$C$113*SUM(P94:P96)+Assumptions!$C$115*SUM(P85:P93)+Assumptions!$C$117*SUM(P60:P84)))</f>
        <v>-21.6480668149491</v>
      </c>
      <c r="R120" s="69" t="n">
        <f aca="false">IF(R$5="A",-Inputs_Actuals!R196,-Assumptions!$F$169*(Assumptions!$C$113*SUM(Q95:Q97)+Assumptions!$C$115*SUM(Q86:Q94)+Assumptions!$C$117*SUM(Q60:Q85)))</f>
        <v>-22.0873167077981</v>
      </c>
      <c r="S120" s="69" t="n">
        <f aca="false">IF(S$5="A",-Inputs_Actuals!S196,-Assumptions!$F$169*(Assumptions!$C$113*SUM(R96:R98)+Assumptions!$C$115*SUM(R87:R95)+Assumptions!$C$117*SUM(R60:R86)))</f>
        <v>-22.3530484359414</v>
      </c>
      <c r="T120" s="69" t="n">
        <f aca="false">IF(T$5="A",-Inputs_Actuals!T196,-Assumptions!$F$169*(Assumptions!$C$113*SUM(S97:S99)+Assumptions!$C$115*SUM(S88:S96)+Assumptions!$C$117*SUM(S60:S87)))</f>
        <v>-22.6300199678698</v>
      </c>
      <c r="U120" s="69" t="n">
        <f aca="false">IF(U$5="A",-Inputs_Actuals!U196,-Assumptions!$F$169*(Assumptions!$C$113*SUM(T98:T100)+Assumptions!$C$115*SUM(T89:T97)+Assumptions!$C$117*SUM(T60:T88)))</f>
        <v>-22.7160119332411</v>
      </c>
      <c r="V120" s="69" t="n">
        <f aca="false">IF(V$5="A",-Inputs_Actuals!V196,-Assumptions!$F$169*(Assumptions!$C$113*SUM(U99:U101)+Assumptions!$C$115*SUM(U90:U98)+Assumptions!$C$117*SUM(U60:U89)))</f>
        <v>-22.8991751719348</v>
      </c>
      <c r="W120" s="69" t="n">
        <f aca="false">IF(W$5="A",-Inputs_Actuals!W196,-Assumptions!$F$169*(Assumptions!$C$113*SUM(V100:V102)+Assumptions!$C$115*SUM(V91:V99)+Assumptions!$C$117*SUM(V60:V90)))</f>
        <v>-22.9476003832813</v>
      </c>
      <c r="X120" s="69" t="n">
        <f aca="false">IF(X$5="A",-Inputs_Actuals!X196,-Assumptions!$F$169*(Assumptions!$C$113*SUM(W101:W103)+Assumptions!$C$115*SUM(W92:W100)+Assumptions!$C$117*SUM(W60:W91)))</f>
        <v>-22.8801228488059</v>
      </c>
      <c r="Y120" s="69" t="n">
        <f aca="false">IF(Y$5="A",-Inputs_Actuals!Y196,-Assumptions!$F$169*(Assumptions!$C$113*SUM(X102:X104)+Assumptions!$C$115*SUM(X93:X101)+Assumptions!$C$117*SUM(X60:X92)))</f>
        <v>-22.6464570355602</v>
      </c>
      <c r="Z120" s="69" t="n">
        <f aca="false">IF(Z$5="A",-Inputs_Actuals!Z196,-Assumptions!$F$169*(Assumptions!$C$113*SUM(Y103:Y105)+Assumptions!$C$115*SUM(Y94:Y102)+Assumptions!$C$117*SUM(Y60:Y93)))</f>
        <v>-22.9409833790264</v>
      </c>
      <c r="AA120" s="69" t="n">
        <f aca="false">IF(AA$5="A",-Inputs_Actuals!AA196,-Assumptions!$F$169*(Assumptions!$C$113*SUM(Z104:Z106)+Assumptions!$C$115*SUM(Z95:Z103)+Assumptions!$C$117*SUM(Z60:Z94)))</f>
        <v>-23.3157297164705</v>
      </c>
      <c r="AB120" s="69" t="n">
        <f aca="false">IF(AB$5="A",-Inputs_Actuals!AB196,-Assumptions!$F$169*(Assumptions!$C$113*SUM(AA105:AA107)+Assumptions!$C$115*SUM(AA96:AA104)+Assumptions!$C$117*SUM(AA60:AA95)))</f>
        <v>-23.6235481234951</v>
      </c>
    </row>
    <row r="121" customFormat="false" ht="15" hidden="false" customHeight="false" outlineLevel="0" collapsed="false">
      <c r="A121" s="28" t="s">
        <v>934</v>
      </c>
      <c r="B121" s="63"/>
      <c r="C121" s="68" t="n">
        <f aca="false">SUM(E121:P121)</f>
        <v>0</v>
      </c>
      <c r="D121" s="68" t="n">
        <f aca="false">SUM(Q121:AB121)</f>
        <v>0</v>
      </c>
      <c r="E121" s="69" t="n">
        <f aca="false">ROUND(SUM(History!$F$48:$F$72)+E119+E120-E109,4)</f>
        <v>0</v>
      </c>
      <c r="F121" s="80" t="n">
        <f aca="false">ROUND(E109+F119+F120-F109,4)</f>
        <v>0</v>
      </c>
      <c r="G121" s="80" t="n">
        <f aca="false">ROUND(F109+G119+G120-G109,4)</f>
        <v>0</v>
      </c>
      <c r="H121" s="80" t="n">
        <f aca="false">ROUND(G109+H119+H120-H109,4)</f>
        <v>0</v>
      </c>
      <c r="I121" s="80" t="n">
        <f aca="false">ROUND(H109+I119+I120-I109,4)</f>
        <v>0</v>
      </c>
      <c r="J121" s="80" t="n">
        <f aca="false">ROUND(I109+J119+J120-J109,4)</f>
        <v>0</v>
      </c>
      <c r="K121" s="80" t="n">
        <f aca="false">ROUND(J109+K119+K120-K109,4)</f>
        <v>0</v>
      </c>
      <c r="L121" s="80" t="n">
        <f aca="false">ROUND(K109+L119+L120-L109,4)</f>
        <v>0</v>
      </c>
      <c r="M121" s="80" t="n">
        <f aca="false">ROUND(L109+M119+M120-M109,4)</f>
        <v>0</v>
      </c>
      <c r="N121" s="80" t="n">
        <f aca="false">ROUND(M109+N119+N120-N109,4)</f>
        <v>0</v>
      </c>
      <c r="O121" s="80" t="n">
        <f aca="false">ROUND(N109+O119+O120-O109,4)</f>
        <v>0</v>
      </c>
      <c r="P121" s="80" t="n">
        <f aca="false">ROUND(O109+P119+P120-P109,4)</f>
        <v>0</v>
      </c>
      <c r="Q121" s="80" t="n">
        <f aca="false">ROUND(P109+Q119+Q120-Q109,4)</f>
        <v>0</v>
      </c>
      <c r="R121" s="80" t="n">
        <f aca="false">ROUND(Q109+R119+R120-R109,4)</f>
        <v>0</v>
      </c>
      <c r="S121" s="80" t="n">
        <f aca="false">ROUND(R109+S119+S120-S109,4)</f>
        <v>0</v>
      </c>
      <c r="T121" s="80" t="n">
        <f aca="false">ROUND(S109+T119+T120-T109,4)</f>
        <v>0</v>
      </c>
      <c r="U121" s="80" t="n">
        <f aca="false">ROUND(T109+U119+U120-U109,4)</f>
        <v>0</v>
      </c>
      <c r="V121" s="80" t="n">
        <f aca="false">ROUND(U109+V119+V120-V109,4)</f>
        <v>0</v>
      </c>
      <c r="W121" s="80" t="n">
        <f aca="false">ROUND(V109+W119+W120-W109,4)</f>
        <v>0</v>
      </c>
      <c r="X121" s="80" t="n">
        <f aca="false">ROUND(W109+X119+X120-X109,4)</f>
        <v>0</v>
      </c>
      <c r="Y121" s="80" t="n">
        <f aca="false">ROUND(X109+Y119+Y120-Y109,4)</f>
        <v>0</v>
      </c>
      <c r="Z121" s="80" t="n">
        <f aca="false">ROUND(Y109+Z119+Z120-Z109,4)</f>
        <v>0</v>
      </c>
      <c r="AA121" s="80" t="n">
        <f aca="false">ROUND(Z109+AA119+AA120-AA109,4)</f>
        <v>0</v>
      </c>
      <c r="AB121" s="80" t="n">
        <f aca="false">ROUND(AA109+AB119+AB120-AB109,4)</f>
        <v>0</v>
      </c>
    </row>
    <row r="122" customFormat="false" ht="15" hidden="false" customHeight="false" outlineLevel="0" collapsed="false">
      <c r="A122" s="22" t="s">
        <v>935</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row>
    <row r="123" customFormat="false" ht="15" hidden="false" customHeight="false" outlineLevel="0" collapsed="false">
      <c r="A123" s="28" t="s">
        <v>936</v>
      </c>
      <c r="B123" s="63" t="s">
        <v>937</v>
      </c>
      <c r="C123" s="64" t="n">
        <f aca="false">P123</f>
        <v>15844.4982196633</v>
      </c>
      <c r="D123" s="64" t="n">
        <f aca="false">AB123</f>
        <v>16547.3091366351</v>
      </c>
      <c r="E123" s="65" t="n">
        <f aca="false">IF(E$5="A",Inputs_Actuals!E77,History!$E$73*(1-Assumptions!$C$123*Assumptions!$F$170)*(1-Assumptions!$C$127*Assumptions!$F$170)*(1+Assumptions!E$199)*(1+Assumptions!$C$129*Assumptions!$F$171))</f>
        <v>14832.52</v>
      </c>
      <c r="F123" s="65" t="n">
        <f aca="false">IF(F$5="A",Inputs_Actuals!F77,E123*(1+Assumptions!$C$130*Assumptions!$F$171))</f>
        <v>14928.82</v>
      </c>
      <c r="G123" s="65" t="n">
        <f aca="false">IF(G$5="A",Inputs_Actuals!G77,F123*(1+Assumptions!$C$130*Assumptions!$F$171))</f>
        <v>15041.5</v>
      </c>
      <c r="H123" s="65" t="n">
        <f aca="false">IF(H$5="A",Inputs_Actuals!H77,G123*(1+Assumptions!$C$130*Assumptions!$F$171))</f>
        <v>15107.75</v>
      </c>
      <c r="I123" s="65" t="n">
        <f aca="false">IF(I$5="A",Inputs_Actuals!I77,H123*(1+Assumptions!$C$130*Assumptions!$F$171))</f>
        <v>15263.08</v>
      </c>
      <c r="J123" s="65" t="n">
        <f aca="false">IF(J$5="A",Inputs_Actuals!J77,I123*(1+Assumptions!$C$130*Assumptions!$F$171))</f>
        <v>15367.67</v>
      </c>
      <c r="K123" s="65" t="n">
        <f aca="false">IF(K$5="A",Inputs_Actuals!K77,J123*(1+Assumptions!$C$130*Assumptions!$F$171))</f>
        <v>15431.49</v>
      </c>
      <c r="L123" s="65" t="n">
        <f aca="false">IF(L$5="A",Inputs_Actuals!L77,K123*(1+Assumptions!$C$130*Assumptions!$F$171))</f>
        <v>15500.66</v>
      </c>
      <c r="M123" s="65" t="n">
        <f aca="false">IF(M$5="A",Inputs_Actuals!M77,L123*(1+Assumptions!$C$130*Assumptions!$F$171))</f>
        <v>15585.91363</v>
      </c>
      <c r="N123" s="65" t="n">
        <f aca="false">IF(N$5="A",Inputs_Actuals!N77,M123*(1+Assumptions!$C$130*Assumptions!$F$171))</f>
        <v>15671.636154965</v>
      </c>
      <c r="O123" s="65" t="n">
        <f aca="false">IF(O$5="A",Inputs_Actuals!O77,N123*(1+Assumptions!$C$130*Assumptions!$F$171))</f>
        <v>15757.8301538173</v>
      </c>
      <c r="P123" s="65" t="n">
        <f aca="false">IF(P$5="A",Inputs_Actuals!P77,O123*(1+Assumptions!$C$130*Assumptions!$F$171))</f>
        <v>15844.4982196633</v>
      </c>
      <c r="Q123" s="65" t="n">
        <f aca="false">IF(Q$5="A",Inputs_Actuals!Q77,P123*(1-Assumptions!$C$123*Assumptions!$F$170)*(1-Assumptions!$C$127*Assumptions!$F$170)*(1+Assumptions!Q$199)*(1+Assumptions!$C$129*Assumptions!$F$171))</f>
        <v>15578.4611723061</v>
      </c>
      <c r="R123" s="65" t="n">
        <f aca="false">IF(R$5="A",Inputs_Actuals!R77,Q123*(1+Assumptions!$C$130*Assumptions!$F$171))</f>
        <v>15664.1427087537</v>
      </c>
      <c r="S123" s="65" t="n">
        <f aca="false">IF(S$5="A",Inputs_Actuals!S77,R123*(1+Assumptions!$C$130*Assumptions!$F$171))</f>
        <v>15750.2954936519</v>
      </c>
      <c r="T123" s="65" t="n">
        <f aca="false">IF(T$5="A",Inputs_Actuals!T77,S123*(1+Assumptions!$C$130*Assumptions!$F$171))</f>
        <v>15836.922118867</v>
      </c>
      <c r="U123" s="65" t="n">
        <f aca="false">IF(U$5="A",Inputs_Actuals!U77,T123*(1+Assumptions!$C$130*Assumptions!$F$171))</f>
        <v>15924.0251905207</v>
      </c>
      <c r="V123" s="65" t="n">
        <f aca="false">IF(V$5="A",Inputs_Actuals!V77,U123*(1+Assumptions!$C$130*Assumptions!$F$171))</f>
        <v>16011.6073290686</v>
      </c>
      <c r="W123" s="65" t="n">
        <f aca="false">IF(W$5="A",Inputs_Actuals!W77,V123*(1+Assumptions!$C$130*Assumptions!$F$171))</f>
        <v>16099.6711693785</v>
      </c>
      <c r="X123" s="65" t="n">
        <f aca="false">IF(X$5="A",Inputs_Actuals!X77,W123*(1+Assumptions!$C$130*Assumptions!$F$171))</f>
        <v>16188.2193608101</v>
      </c>
      <c r="Y123" s="65" t="n">
        <f aca="false">IF(Y$5="A",Inputs_Actuals!Y77,X123*(1+Assumptions!$C$130*Assumptions!$F$171))</f>
        <v>16277.2545672945</v>
      </c>
      <c r="Z123" s="65" t="n">
        <f aca="false">IF(Z$5="A",Inputs_Actuals!Z77,Y123*(1+Assumptions!$C$130*Assumptions!$F$171))</f>
        <v>16366.7794674146</v>
      </c>
      <c r="AA123" s="65" t="n">
        <f aca="false">IF(AA$5="A",Inputs_Actuals!AA77,Z123*(1+Assumptions!$C$130*Assumptions!$F$171))</f>
        <v>16456.7967544854</v>
      </c>
      <c r="AB123" s="65" t="n">
        <f aca="false">IF(AB$5="A",Inputs_Actuals!AB77,AA123*(1+Assumptions!$C$130*Assumptions!$F$171))</f>
        <v>16547.3091366351</v>
      </c>
    </row>
    <row r="124" customFormat="false" ht="15" hidden="false" customHeight="false" outlineLevel="0" collapsed="false">
      <c r="A124" s="28" t="s">
        <v>938</v>
      </c>
      <c r="B124" s="63" t="s">
        <v>937</v>
      </c>
      <c r="C124" s="64" t="n">
        <f aca="false">P124</f>
        <v>7732.14367052178</v>
      </c>
      <c r="D124" s="64" t="n">
        <f aca="false">AB124</f>
        <v>8075.11666391661</v>
      </c>
      <c r="E124" s="65" t="n">
        <f aca="false">IF(E$5="A",Inputs_Actuals!E78,History!$E$74*(1+Assumptions!$C$130*Assumptions!$F$171))</f>
        <v>8478.83</v>
      </c>
      <c r="F124" s="65" t="n">
        <f aca="false">IF(F$5="A",Inputs_Actuals!F78,E124*(1-Assumptions!$C$123*Assumptions!$F$170)*(1-Assumptions!$C$127*Assumptions!$F$170)*(1+Assumptions!F$199)*(1+Assumptions!$C$129*Assumptions!$F$171))</f>
        <v>7283.21</v>
      </c>
      <c r="G124" s="65" t="n">
        <f aca="false">IF(G$5="A",Inputs_Actuals!G78,F124*(1+Assumptions!$C$130*Assumptions!$F$171))</f>
        <v>7308.26</v>
      </c>
      <c r="H124" s="65" t="n">
        <f aca="false">IF(H$5="A",Inputs_Actuals!H78,G124*(1+Assumptions!$C$130*Assumptions!$F$171))</f>
        <v>7346.83</v>
      </c>
      <c r="I124" s="65" t="n">
        <f aca="false">IF(I$5="A",Inputs_Actuals!I78,H124*(1+Assumptions!$C$130*Assumptions!$F$171))</f>
        <v>7404.62</v>
      </c>
      <c r="J124" s="65" t="n">
        <f aca="false">IF(J$5="A",Inputs_Actuals!J78,I124*(1+Assumptions!$C$130*Assumptions!$F$171))</f>
        <v>7480.1</v>
      </c>
      <c r="K124" s="65" t="n">
        <f aca="false">IF(K$5="A",Inputs_Actuals!K78,J124*(1+Assumptions!$C$130*Assumptions!$F$171))</f>
        <v>7542.95</v>
      </c>
      <c r="L124" s="65" t="n">
        <f aca="false">IF(L$5="A",Inputs_Actuals!L78,K124*(1+Assumptions!$C$130*Assumptions!$F$171))</f>
        <v>7564.35</v>
      </c>
      <c r="M124" s="65" t="n">
        <f aca="false">IF(M$5="A",Inputs_Actuals!M78,L124*(1+Assumptions!$C$130*Assumptions!$F$171))</f>
        <v>7605.953925</v>
      </c>
      <c r="N124" s="65" t="n">
        <f aca="false">IF(N$5="A",Inputs_Actuals!N78,M124*(1+Assumptions!$C$130*Assumptions!$F$171))</f>
        <v>7647.7866715875</v>
      </c>
      <c r="O124" s="65" t="n">
        <f aca="false">IF(O$5="A",Inputs_Actuals!O78,N124*(1+Assumptions!$C$130*Assumptions!$F$171))</f>
        <v>7689.84949828123</v>
      </c>
      <c r="P124" s="65" t="n">
        <f aca="false">IF(P$5="A",Inputs_Actuals!P78,O124*(1+Assumptions!$C$130*Assumptions!$F$171))</f>
        <v>7732.14367052178</v>
      </c>
      <c r="Q124" s="65" t="n">
        <f aca="false">IF(Q$5="A",Inputs_Actuals!Q78,P124*(1+Assumptions!$C$130*Assumptions!$F$171))</f>
        <v>7774.67046070965</v>
      </c>
      <c r="R124" s="65" t="n">
        <f aca="false">IF(R$5="A",Inputs_Actuals!R78,Q124*(1-Assumptions!$C$123*Assumptions!$F$170)*(1-Assumptions!$C$127*Assumptions!$F$170)*(1+Assumptions!R$199)*(1+Assumptions!$C$129*Assumptions!$F$171))</f>
        <v>7644.12985633911</v>
      </c>
      <c r="S124" s="65" t="n">
        <f aca="false">IF(S$5="A",Inputs_Actuals!S78,R124*(1+Assumptions!$C$130*Assumptions!$F$171))</f>
        <v>7686.17257054897</v>
      </c>
      <c r="T124" s="65" t="n">
        <f aca="false">IF(T$5="A",Inputs_Actuals!T78,S124*(1+Assumptions!$C$130*Assumptions!$F$171))</f>
        <v>7728.44651968699</v>
      </c>
      <c r="U124" s="65" t="n">
        <f aca="false">IF(U$5="A",Inputs_Actuals!U78,T124*(1+Assumptions!$C$130*Assumptions!$F$171))</f>
        <v>7770.95297554527</v>
      </c>
      <c r="V124" s="65" t="n">
        <f aca="false">IF(V$5="A",Inputs_Actuals!V78,U124*(1+Assumptions!$C$130*Assumptions!$F$171))</f>
        <v>7813.69321691077</v>
      </c>
      <c r="W124" s="65" t="n">
        <f aca="false">IF(W$5="A",Inputs_Actuals!W78,V124*(1+Assumptions!$C$130*Assumptions!$F$171))</f>
        <v>7856.66852960378</v>
      </c>
      <c r="X124" s="65" t="n">
        <f aca="false">IF(X$5="A",Inputs_Actuals!X78,W124*(1+Assumptions!$C$130*Assumptions!$F$171))</f>
        <v>7899.8802065166</v>
      </c>
      <c r="Y124" s="65" t="n">
        <f aca="false">IF(Y$5="A",Inputs_Actuals!Y78,X124*(1+Assumptions!$C$130*Assumptions!$F$171))</f>
        <v>7943.32954765244</v>
      </c>
      <c r="Z124" s="65" t="n">
        <f aca="false">IF(Z$5="A",Inputs_Actuals!Z78,Y124*(1+Assumptions!$C$130*Assumptions!$F$171))</f>
        <v>7987.01786016453</v>
      </c>
      <c r="AA124" s="65" t="n">
        <f aca="false">IF(AA$5="A",Inputs_Actuals!AA78,Z124*(1+Assumptions!$C$130*Assumptions!$F$171))</f>
        <v>8030.94645839544</v>
      </c>
      <c r="AB124" s="65" t="n">
        <f aca="false">IF(AB$5="A",Inputs_Actuals!AB78,AA124*(1+Assumptions!$C$130*Assumptions!$F$171))</f>
        <v>8075.11666391661</v>
      </c>
    </row>
    <row r="125" customFormat="false" ht="15" hidden="false" customHeight="false" outlineLevel="0" collapsed="false">
      <c r="A125" s="28" t="s">
        <v>939</v>
      </c>
      <c r="B125" s="63" t="s">
        <v>937</v>
      </c>
      <c r="C125" s="64" t="n">
        <f aca="false">P125</f>
        <v>7088.27112389693</v>
      </c>
      <c r="D125" s="64" t="n">
        <f aca="false">AB125</f>
        <v>7402.68400458685</v>
      </c>
      <c r="E125" s="65" t="n">
        <f aca="false">IF(E$5="A",Inputs_Actuals!E79,History!$E$75*(1+Assumptions!$C$130*Assumptions!$F$171))</f>
        <v>8793.05</v>
      </c>
      <c r="F125" s="65" t="n">
        <f aca="false">IF(F$5="A",Inputs_Actuals!F79,E125*(1+Assumptions!$C$130*Assumptions!$F$171))</f>
        <v>8831.08</v>
      </c>
      <c r="G125" s="65" t="n">
        <f aca="false">IF(G$5="A",Inputs_Actuals!G79,F125*(1-Assumptions!$C$123*Assumptions!$F$170)*(1-Assumptions!$C$127*Assumptions!$F$170)*(1+Assumptions!G$199)*(1+Assumptions!$C$129*Assumptions!$F$171))</f>
        <v>6733.47</v>
      </c>
      <c r="H125" s="65" t="n">
        <f aca="false">IF(H$5="A",Inputs_Actuals!H79,G125*(1+Assumptions!$C$130*Assumptions!$F$171))</f>
        <v>6791.07</v>
      </c>
      <c r="I125" s="65" t="n">
        <f aca="false">IF(I$5="A",Inputs_Actuals!I79,H125*(1+Assumptions!$C$130*Assumptions!$F$171))</f>
        <v>6831.38</v>
      </c>
      <c r="J125" s="65" t="n">
        <f aca="false">IF(J$5="A",Inputs_Actuals!J79,I125*(1+Assumptions!$C$130*Assumptions!$F$171))</f>
        <v>6880.55</v>
      </c>
      <c r="K125" s="65" t="n">
        <f aca="false">IF(K$5="A",Inputs_Actuals!K79,J125*(1+Assumptions!$C$130*Assumptions!$F$171))</f>
        <v>6904.71</v>
      </c>
      <c r="L125" s="65" t="n">
        <f aca="false">IF(L$5="A",Inputs_Actuals!L79,K125*(1+Assumptions!$C$130*Assumptions!$F$171))</f>
        <v>6934.45</v>
      </c>
      <c r="M125" s="65" t="n">
        <f aca="false">IF(M$5="A",Inputs_Actuals!M79,L125*(1+Assumptions!$C$130*Assumptions!$F$171))</f>
        <v>6972.589475</v>
      </c>
      <c r="N125" s="65" t="n">
        <f aca="false">IF(N$5="A",Inputs_Actuals!N79,M125*(1+Assumptions!$C$130*Assumptions!$F$171))</f>
        <v>7010.9387171125</v>
      </c>
      <c r="O125" s="65" t="n">
        <f aca="false">IF(O$5="A",Inputs_Actuals!O79,N125*(1+Assumptions!$C$130*Assumptions!$F$171))</f>
        <v>7049.49888005662</v>
      </c>
      <c r="P125" s="65" t="n">
        <f aca="false">IF(P$5="A",Inputs_Actuals!P79,O125*(1+Assumptions!$C$130*Assumptions!$F$171))</f>
        <v>7088.27112389693</v>
      </c>
      <c r="Q125" s="65" t="n">
        <f aca="false">IF(Q$5="A",Inputs_Actuals!Q79,P125*(1+Assumptions!$C$130*Assumptions!$F$171))</f>
        <v>7127.25661507837</v>
      </c>
      <c r="R125" s="65" t="n">
        <f aca="false">IF(R$5="A",Inputs_Actuals!R79,Q125*(1+Assumptions!$C$130*Assumptions!$F$171))</f>
        <v>7166.4565264613</v>
      </c>
      <c r="S125" s="65" t="n">
        <f aca="false">IF(S$5="A",Inputs_Actuals!S79,R125*(1-Assumptions!$C$123*Assumptions!$F$170)*(1-Assumptions!$C$127*Assumptions!$F$170)*(1+Assumptions!S$199)*(1+Assumptions!$C$129*Assumptions!$F$171))</f>
        <v>7046.12813815375</v>
      </c>
      <c r="T125" s="65" t="n">
        <f aca="false">IF(T$5="A",Inputs_Actuals!T79,S125*(1+Assumptions!$C$130*Assumptions!$F$171))</f>
        <v>7084.8818429136</v>
      </c>
      <c r="U125" s="65" t="n">
        <f aca="false">IF(U$5="A",Inputs_Actuals!U79,T125*(1+Assumptions!$C$130*Assumptions!$F$171))</f>
        <v>7123.84869304962</v>
      </c>
      <c r="V125" s="65" t="n">
        <f aca="false">IF(V$5="A",Inputs_Actuals!V79,U125*(1+Assumptions!$C$130*Assumptions!$F$171))</f>
        <v>7163.0298608614</v>
      </c>
      <c r="W125" s="65" t="n">
        <f aca="false">IF(W$5="A",Inputs_Actuals!W79,V125*(1+Assumptions!$C$130*Assumptions!$F$171))</f>
        <v>7202.42652509613</v>
      </c>
      <c r="X125" s="65" t="n">
        <f aca="false">IF(X$5="A",Inputs_Actuals!X79,W125*(1+Assumptions!$C$130*Assumptions!$F$171))</f>
        <v>7242.03987098416</v>
      </c>
      <c r="Y125" s="65" t="n">
        <f aca="false">IF(Y$5="A",Inputs_Actuals!Y79,X125*(1+Assumptions!$C$130*Assumptions!$F$171))</f>
        <v>7281.87109027458</v>
      </c>
      <c r="Z125" s="65" t="n">
        <f aca="false">IF(Z$5="A",Inputs_Actuals!Z79,Y125*(1+Assumptions!$C$130*Assumptions!$F$171))</f>
        <v>7321.92138127109</v>
      </c>
      <c r="AA125" s="65" t="n">
        <f aca="false">IF(AA$5="A",Inputs_Actuals!AA79,Z125*(1+Assumptions!$C$130*Assumptions!$F$171))</f>
        <v>7362.19194886808</v>
      </c>
      <c r="AB125" s="65" t="n">
        <f aca="false">IF(AB$5="A",Inputs_Actuals!AB79,AA125*(1+Assumptions!$C$130*Assumptions!$F$171))</f>
        <v>7402.68400458685</v>
      </c>
    </row>
    <row r="126" customFormat="false" ht="15" hidden="false" customHeight="false" outlineLevel="0" collapsed="false">
      <c r="A126" s="28" t="s">
        <v>940</v>
      </c>
      <c r="B126" s="63" t="s">
        <v>937</v>
      </c>
      <c r="C126" s="64" t="n">
        <f aca="false">P126</f>
        <v>7291.07206571368</v>
      </c>
      <c r="D126" s="64" t="n">
        <f aca="false">AB126</f>
        <v>7614.48054310253</v>
      </c>
      <c r="E126" s="65" t="n">
        <f aca="false">IF(E$5="A",Inputs_Actuals!E80,History!$E$76*(1+Assumptions!$C$130*Assumptions!$F$171))</f>
        <v>7350.25</v>
      </c>
      <c r="F126" s="65" t="n">
        <f aca="false">IF(F$5="A",Inputs_Actuals!F80,E126*(1+Assumptions!$C$130*Assumptions!$F$171))</f>
        <v>7396.43</v>
      </c>
      <c r="G126" s="65" t="n">
        <f aca="false">IF(G$5="A",Inputs_Actuals!G80,F126*(1+Assumptions!$C$130*Assumptions!$F$171))</f>
        <v>7450.85</v>
      </c>
      <c r="H126" s="65" t="n">
        <f aca="false">IF(H$5="A",Inputs_Actuals!H80,G126*(1-Assumptions!$C$123*Assumptions!$F$170)*(1-Assumptions!$C$127*Assumptions!$F$170)*(1+Assumptions!H$199)*(1+Assumptions!$C$129*Assumptions!$F$171))</f>
        <v>6979.48</v>
      </c>
      <c r="I126" s="65" t="n">
        <f aca="false">IF(I$5="A",Inputs_Actuals!I80,H126*(1+Assumptions!$C$130*Assumptions!$F$171))</f>
        <v>7010.68</v>
      </c>
      <c r="J126" s="65" t="n">
        <f aca="false">IF(J$5="A",Inputs_Actuals!J80,I126*(1+Assumptions!$C$130*Assumptions!$F$171))</f>
        <v>7068.59</v>
      </c>
      <c r="K126" s="65" t="n">
        <f aca="false">IF(K$5="A",Inputs_Actuals!K80,J126*(1+Assumptions!$C$130*Assumptions!$F$171))</f>
        <v>7114.13</v>
      </c>
      <c r="L126" s="65" t="n">
        <f aca="false">IF(L$5="A",Inputs_Actuals!L80,K126*(1+Assumptions!$C$130*Assumptions!$F$171))</f>
        <v>7132.85</v>
      </c>
      <c r="M126" s="65" t="n">
        <f aca="false">IF(M$5="A",Inputs_Actuals!M80,L126*(1+Assumptions!$C$130*Assumptions!$F$171))</f>
        <v>7172.080675</v>
      </c>
      <c r="N126" s="65" t="n">
        <f aca="false">IF(N$5="A",Inputs_Actuals!N80,M126*(1+Assumptions!$C$130*Assumptions!$F$171))</f>
        <v>7211.5271187125</v>
      </c>
      <c r="O126" s="65" t="n">
        <f aca="false">IF(O$5="A",Inputs_Actuals!O80,N126*(1+Assumptions!$C$130*Assumptions!$F$171))</f>
        <v>7251.19051786542</v>
      </c>
      <c r="P126" s="65" t="n">
        <f aca="false">IF(P$5="A",Inputs_Actuals!P80,O126*(1+Assumptions!$C$130*Assumptions!$F$171))</f>
        <v>7291.07206571368</v>
      </c>
      <c r="Q126" s="65" t="n">
        <f aca="false">IF(Q$5="A",Inputs_Actuals!Q80,P126*(1+Assumptions!$C$130*Assumptions!$F$171))</f>
        <v>7331.17296207511</v>
      </c>
      <c r="R126" s="65" t="n">
        <f aca="false">IF(R$5="A",Inputs_Actuals!R80,Q126*(1+Assumptions!$C$130*Assumptions!$F$171))</f>
        <v>7371.49441336652</v>
      </c>
      <c r="S126" s="65" t="n">
        <f aca="false">IF(S$5="A",Inputs_Actuals!S80,R126*(1+Assumptions!$C$130*Assumptions!$F$171))</f>
        <v>7412.03763264004</v>
      </c>
      <c r="T126" s="65" t="n">
        <f aca="false">IF(T$5="A",Inputs_Actuals!T80,S126*(1-Assumptions!$C$123*Assumptions!$F$170)*(1-Assumptions!$C$127*Assumptions!$F$170)*(1+Assumptions!T$199)*(1+Assumptions!$C$129*Assumptions!$F$171))</f>
        <v>7287.5858147692</v>
      </c>
      <c r="U126" s="65" t="n">
        <f aca="false">IF(U$5="A",Inputs_Actuals!U80,T126*(1+Assumptions!$C$130*Assumptions!$F$171))</f>
        <v>7327.66753675043</v>
      </c>
      <c r="V126" s="65" t="n">
        <f aca="false">IF(V$5="A",Inputs_Actuals!V80,U126*(1+Assumptions!$C$130*Assumptions!$F$171))</f>
        <v>7367.96970820255</v>
      </c>
      <c r="W126" s="65" t="n">
        <f aca="false">IF(W$5="A",Inputs_Actuals!W80,V126*(1+Assumptions!$C$130*Assumptions!$F$171))</f>
        <v>7408.49354159767</v>
      </c>
      <c r="X126" s="65" t="n">
        <f aca="false">IF(X$5="A",Inputs_Actuals!X80,W126*(1+Assumptions!$C$130*Assumptions!$F$171))</f>
        <v>7449.24025607646</v>
      </c>
      <c r="Y126" s="65" t="n">
        <f aca="false">IF(Y$5="A",Inputs_Actuals!Y80,X126*(1+Assumptions!$C$130*Assumptions!$F$171))</f>
        <v>7490.21107748488</v>
      </c>
      <c r="Z126" s="65" t="n">
        <f aca="false">IF(Z$5="A",Inputs_Actuals!Z80,Y126*(1+Assumptions!$C$130*Assumptions!$F$171))</f>
        <v>7531.40723841104</v>
      </c>
      <c r="AA126" s="65" t="n">
        <f aca="false">IF(AA$5="A",Inputs_Actuals!AA80,Z126*(1+Assumptions!$C$130*Assumptions!$F$171))</f>
        <v>7572.82997822231</v>
      </c>
      <c r="AB126" s="65" t="n">
        <f aca="false">IF(AB$5="A",Inputs_Actuals!AB80,AA126*(1+Assumptions!$C$130*Assumptions!$F$171))</f>
        <v>7614.48054310253</v>
      </c>
    </row>
    <row r="127" customFormat="false" ht="15" hidden="false" customHeight="false" outlineLevel="0" collapsed="false">
      <c r="A127" s="28" t="s">
        <v>941</v>
      </c>
      <c r="B127" s="63" t="s">
        <v>937</v>
      </c>
      <c r="C127" s="64" t="n">
        <f aca="false">P127</f>
        <v>7609.94179252686</v>
      </c>
      <c r="D127" s="64" t="n">
        <f aca="false">AB127</f>
        <v>7947.49430414066</v>
      </c>
      <c r="E127" s="65" t="n">
        <f aca="false">IF(E$5="A",Inputs_Actuals!E81,History!$E$77*(1+Assumptions!$C$130*Assumptions!$F$171))</f>
        <v>7923.25</v>
      </c>
      <c r="F127" s="65" t="n">
        <f aca="false">IF(F$5="A",Inputs_Actuals!F81,E127*(1+Assumptions!$C$130*Assumptions!$F$171))</f>
        <v>7974.06</v>
      </c>
      <c r="G127" s="65" t="n">
        <f aca="false">IF(G$5="A",Inputs_Actuals!G81,F127*(1+Assumptions!$C$130*Assumptions!$F$171))</f>
        <v>7974.06</v>
      </c>
      <c r="H127" s="65" t="n">
        <f aca="false">IF(H$5="A",Inputs_Actuals!H81,G127*(1+Assumptions!$C$130*Assumptions!$F$171))</f>
        <v>8017.21</v>
      </c>
      <c r="I127" s="65" t="n">
        <f aca="false">IF(I$5="A",Inputs_Actuals!I81,H127*(1-Assumptions!$C$123*Assumptions!$F$170)*(1-Assumptions!$C$127*Assumptions!$F$170)*(1+Assumptions!I$199)*(1+Assumptions!$C$129*Assumptions!$F$171))</f>
        <v>7296.9</v>
      </c>
      <c r="J127" s="65" t="n">
        <f aca="false">IF(J$5="A",Inputs_Actuals!J81,I127*(1+Assumptions!$C$130*Assumptions!$F$171))</f>
        <v>7321.87</v>
      </c>
      <c r="K127" s="65" t="n">
        <f aca="false">IF(K$5="A",Inputs_Actuals!K81,J127*(1+Assumptions!$C$130*Assumptions!$F$171))</f>
        <v>7367.75</v>
      </c>
      <c r="L127" s="65" t="n">
        <f aca="false">IF(L$5="A",Inputs_Actuals!L81,K127*(1+Assumptions!$C$130*Assumptions!$F$171))</f>
        <v>7444.8</v>
      </c>
      <c r="M127" s="65" t="n">
        <f aca="false">IF(M$5="A",Inputs_Actuals!M81,L127*(1+Assumptions!$C$130*Assumptions!$F$171))</f>
        <v>7485.7464</v>
      </c>
      <c r="N127" s="65" t="n">
        <f aca="false">IF(N$5="A",Inputs_Actuals!N81,M127*(1+Assumptions!$C$130*Assumptions!$F$171))</f>
        <v>7526.9180052</v>
      </c>
      <c r="O127" s="65" t="n">
        <f aca="false">IF(O$5="A",Inputs_Actuals!O81,N127*(1+Assumptions!$C$130*Assumptions!$F$171))</f>
        <v>7568.3160542286</v>
      </c>
      <c r="P127" s="65" t="n">
        <f aca="false">IF(P$5="A",Inputs_Actuals!P81,O127*(1+Assumptions!$C$130*Assumptions!$F$171))</f>
        <v>7609.94179252686</v>
      </c>
      <c r="Q127" s="65" t="n">
        <f aca="false">IF(Q$5="A",Inputs_Actuals!Q81,P127*(1+Assumptions!$C$130*Assumptions!$F$171))</f>
        <v>7651.79647238576</v>
      </c>
      <c r="R127" s="65" t="n">
        <f aca="false">IF(R$5="A",Inputs_Actuals!R81,Q127*(1+Assumptions!$C$130*Assumptions!$F$171))</f>
        <v>7693.88135298388</v>
      </c>
      <c r="S127" s="65" t="n">
        <f aca="false">IF(S$5="A",Inputs_Actuals!S81,R127*(1+Assumptions!$C$130*Assumptions!$F$171))</f>
        <v>7736.19770042529</v>
      </c>
      <c r="T127" s="65" t="n">
        <f aca="false">IF(T$5="A",Inputs_Actuals!T81,S127*(1+Assumptions!$C$130*Assumptions!$F$171))</f>
        <v>7778.74678777763</v>
      </c>
      <c r="U127" s="65" t="n">
        <f aca="false">IF(U$5="A",Inputs_Actuals!U81,T127*(1-Assumptions!$C$123*Assumptions!$F$170)*(1-Assumptions!$C$127*Assumptions!$F$170)*(1+Assumptions!U$199)*(1+Assumptions!$C$129*Assumptions!$F$171))</f>
        <v>7648.13773983745</v>
      </c>
      <c r="V127" s="65" t="n">
        <f aca="false">IF(V$5="A",Inputs_Actuals!V81,U127*(1+Assumptions!$C$130*Assumptions!$F$171))</f>
        <v>7690.20249740656</v>
      </c>
      <c r="W127" s="65" t="n">
        <f aca="false">IF(W$5="A",Inputs_Actuals!W81,V127*(1+Assumptions!$C$130*Assumptions!$F$171))</f>
        <v>7732.4986111423</v>
      </c>
      <c r="X127" s="65" t="n">
        <f aca="false">IF(X$5="A",Inputs_Actuals!X81,W127*(1+Assumptions!$C$130*Assumptions!$F$171))</f>
        <v>7775.02735350358</v>
      </c>
      <c r="Y127" s="65" t="n">
        <f aca="false">IF(Y$5="A",Inputs_Actuals!Y81,X127*(1+Assumptions!$C$130*Assumptions!$F$171))</f>
        <v>7817.79000394785</v>
      </c>
      <c r="Z127" s="65" t="n">
        <f aca="false">IF(Z$5="A",Inputs_Actuals!Z81,Y127*(1+Assumptions!$C$130*Assumptions!$F$171))</f>
        <v>7860.78784896956</v>
      </c>
      <c r="AA127" s="65" t="n">
        <f aca="false">IF(AA$5="A",Inputs_Actuals!AA81,Z127*(1+Assumptions!$C$130*Assumptions!$F$171))</f>
        <v>7904.0221821389</v>
      </c>
      <c r="AB127" s="65" t="n">
        <f aca="false">IF(AB$5="A",Inputs_Actuals!AB81,AA127*(1+Assumptions!$C$130*Assumptions!$F$171))</f>
        <v>7947.49430414066</v>
      </c>
    </row>
    <row r="128" customFormat="false" ht="15" hidden="false" customHeight="false" outlineLevel="0" collapsed="false">
      <c r="A128" s="28" t="s">
        <v>942</v>
      </c>
      <c r="B128" s="63" t="s">
        <v>937</v>
      </c>
      <c r="C128" s="64" t="n">
        <f aca="false">P128</f>
        <v>6630.3846224513</v>
      </c>
      <c r="D128" s="64" t="n">
        <f aca="false">AB128</f>
        <v>6924.48713246943</v>
      </c>
      <c r="E128" s="65" t="n">
        <f aca="false">IF(E$5="A",Inputs_Actuals!E82,History!$E$78*(1+Assumptions!$C$130*Assumptions!$F$171))</f>
        <v>5621.91</v>
      </c>
      <c r="F128" s="65" t="n">
        <f aca="false">IF(F$5="A",Inputs_Actuals!F82,E128*(1+Assumptions!$C$130*Assumptions!$F$171))</f>
        <v>5635.27</v>
      </c>
      <c r="G128" s="65" t="n">
        <f aca="false">IF(G$5="A",Inputs_Actuals!G82,F128*(1+Assumptions!$C$130*Assumptions!$F$171))</f>
        <v>5674.89</v>
      </c>
      <c r="H128" s="65" t="n">
        <f aca="false">IF(H$5="A",Inputs_Actuals!H82,G128*(1+Assumptions!$C$130*Assumptions!$F$171))</f>
        <v>5705.91</v>
      </c>
      <c r="I128" s="65" t="n">
        <f aca="false">IF(I$5="A",Inputs_Actuals!I82,H128*(1+Assumptions!$C$130*Assumptions!$F$171))</f>
        <v>5766.66</v>
      </c>
      <c r="J128" s="65" t="n">
        <f aca="false">IF(J$5="A",Inputs_Actuals!J82,I128*(1-Assumptions!$C$123*Assumptions!$F$170)*(1-Assumptions!$C$127*Assumptions!$F$170)*(1+Assumptions!J$199)*(1+Assumptions!$C$129*Assumptions!$F$171))</f>
        <v>6434.25</v>
      </c>
      <c r="K128" s="65" t="n">
        <f aca="false">IF(K$5="A",Inputs_Actuals!K82,J128*(1+Assumptions!$C$130*Assumptions!$F$171))</f>
        <v>6472.84</v>
      </c>
      <c r="L128" s="65" t="n">
        <f aca="false">IF(L$5="A",Inputs_Actuals!L82,K128*(1+Assumptions!$C$130*Assumptions!$F$171))</f>
        <v>6486.5</v>
      </c>
      <c r="M128" s="65" t="n">
        <f aca="false">IF(M$5="A",Inputs_Actuals!M82,L128*(1+Assumptions!$C$130*Assumptions!$F$171))</f>
        <v>6522.17575</v>
      </c>
      <c r="N128" s="65" t="n">
        <f aca="false">IF(N$5="A",Inputs_Actuals!N82,M128*(1+Assumptions!$C$130*Assumptions!$F$171))</f>
        <v>6558.047716625</v>
      </c>
      <c r="O128" s="65" t="n">
        <f aca="false">IF(O$5="A",Inputs_Actuals!O82,N128*(1+Assumptions!$C$130*Assumptions!$F$171))</f>
        <v>6594.11697906644</v>
      </c>
      <c r="P128" s="65" t="n">
        <f aca="false">IF(P$5="A",Inputs_Actuals!P82,O128*(1+Assumptions!$C$130*Assumptions!$F$171))</f>
        <v>6630.3846224513</v>
      </c>
      <c r="Q128" s="65" t="n">
        <f aca="false">IF(Q$5="A",Inputs_Actuals!Q82,P128*(1+Assumptions!$C$130*Assumptions!$F$171))</f>
        <v>6666.85173787479</v>
      </c>
      <c r="R128" s="65" t="n">
        <f aca="false">IF(R$5="A",Inputs_Actuals!R82,Q128*(1+Assumptions!$C$130*Assumptions!$F$171))</f>
        <v>6703.5194224331</v>
      </c>
      <c r="S128" s="65" t="n">
        <f aca="false">IF(S$5="A",Inputs_Actuals!S82,R128*(1+Assumptions!$C$130*Assumptions!$F$171))</f>
        <v>6740.38877925648</v>
      </c>
      <c r="T128" s="65" t="n">
        <f aca="false">IF(T$5="A",Inputs_Actuals!T82,S128*(1+Assumptions!$C$130*Assumptions!$F$171))</f>
        <v>6777.46091754239</v>
      </c>
      <c r="U128" s="65" t="n">
        <f aca="false">IF(U$5="A",Inputs_Actuals!U82,T128*(1+Assumptions!$C$130*Assumptions!$F$171))</f>
        <v>6814.73695258888</v>
      </c>
      <c r="V128" s="65" t="n">
        <f aca="false">IF(V$5="A",Inputs_Actuals!V82,U128*(1-Assumptions!$C$123*Assumptions!$F$170)*(1-Assumptions!$C$127*Assumptions!$F$170)*(1+Assumptions!V$199)*(1+Assumptions!$C$129*Assumptions!$F$171))</f>
        <v>6700.31411178643</v>
      </c>
      <c r="W128" s="65" t="n">
        <f aca="false">IF(W$5="A",Inputs_Actuals!W82,V128*(1+Assumptions!$C$130*Assumptions!$F$171))</f>
        <v>6737.16583940126</v>
      </c>
      <c r="X128" s="65" t="n">
        <f aca="false">IF(X$5="A",Inputs_Actuals!X82,W128*(1+Assumptions!$C$130*Assumptions!$F$171))</f>
        <v>6774.22025151797</v>
      </c>
      <c r="Y128" s="65" t="n">
        <f aca="false">IF(Y$5="A",Inputs_Actuals!Y82,X128*(1+Assumptions!$C$130*Assumptions!$F$171))</f>
        <v>6811.47846290132</v>
      </c>
      <c r="Z128" s="65" t="n">
        <f aca="false">IF(Z$5="A",Inputs_Actuals!Z82,Y128*(1+Assumptions!$C$130*Assumptions!$F$171))</f>
        <v>6848.94159444727</v>
      </c>
      <c r="AA128" s="65" t="n">
        <f aca="false">IF(AA$5="A",Inputs_Actuals!AA82,Z128*(1+Assumptions!$C$130*Assumptions!$F$171))</f>
        <v>6886.61077321673</v>
      </c>
      <c r="AB128" s="65" t="n">
        <f aca="false">IF(AB$5="A",Inputs_Actuals!AB82,AA128*(1+Assumptions!$C$130*Assumptions!$F$171))</f>
        <v>6924.48713246943</v>
      </c>
    </row>
    <row r="129" customFormat="false" ht="15" hidden="false" customHeight="false" outlineLevel="0" collapsed="false">
      <c r="A129" s="28" t="s">
        <v>943</v>
      </c>
      <c r="B129" s="63" t="s">
        <v>937</v>
      </c>
      <c r="C129" s="64" t="n">
        <f aca="false">P129</f>
        <v>6096.92819344261</v>
      </c>
      <c r="D129" s="64" t="n">
        <f aca="false">AB129</f>
        <v>6367.36829416015</v>
      </c>
      <c r="E129" s="65" t="n">
        <f aca="false">IF(E$5="A",Inputs_Actuals!E83,History!$E$79*(1+Assumptions!$C$130*Assumptions!$F$171))</f>
        <v>5310.25</v>
      </c>
      <c r="F129" s="65" t="n">
        <f aca="false">IF(F$5="A",Inputs_Actuals!F83,E129*(1+Assumptions!$C$130*Assumptions!$F$171))</f>
        <v>5325.71</v>
      </c>
      <c r="G129" s="65" t="n">
        <f aca="false">IF(G$5="A",Inputs_Actuals!G83,F129*(1+Assumptions!$C$130*Assumptions!$F$171))</f>
        <v>5362.59</v>
      </c>
      <c r="H129" s="65" t="n">
        <f aca="false">IF(H$5="A",Inputs_Actuals!H83,G129*(1+Assumptions!$C$130*Assumptions!$F$171))</f>
        <v>5388.48</v>
      </c>
      <c r="I129" s="65" t="n">
        <f aca="false">IF(I$5="A",Inputs_Actuals!I83,H129*(1+Assumptions!$C$130*Assumptions!$F$171))</f>
        <v>5425.69</v>
      </c>
      <c r="J129" s="65" t="n">
        <f aca="false">IF(J$5="A",Inputs_Actuals!J83,I129*(1+Assumptions!$C$130*Assumptions!$F$171))</f>
        <v>5470.43</v>
      </c>
      <c r="K129" s="65" t="n">
        <f aca="false">IF(K$5="A",Inputs_Actuals!K83,J129*(1-Assumptions!$C$123*Assumptions!$F$170)*(1-Assumptions!$C$127*Assumptions!$F$170)*(1+Assumptions!K$199)*(1+Assumptions!$C$129*Assumptions!$F$171))</f>
        <v>5930.79</v>
      </c>
      <c r="L129" s="65" t="n">
        <f aca="false">IF(L$5="A",Inputs_Actuals!L83,K129*(1+Assumptions!$C$130*Assumptions!$F$171))</f>
        <v>5964.62</v>
      </c>
      <c r="M129" s="65" t="n">
        <f aca="false">IF(M$5="A",Inputs_Actuals!M83,L129*(1+Assumptions!$C$130*Assumptions!$F$171))</f>
        <v>5997.42541</v>
      </c>
      <c r="N129" s="65" t="n">
        <f aca="false">IF(N$5="A",Inputs_Actuals!N83,M129*(1+Assumptions!$C$130*Assumptions!$F$171))</f>
        <v>6030.411249755</v>
      </c>
      <c r="O129" s="65" t="n">
        <f aca="false">IF(O$5="A",Inputs_Actuals!O83,N129*(1+Assumptions!$C$130*Assumptions!$F$171))</f>
        <v>6063.57851162865</v>
      </c>
      <c r="P129" s="65" t="n">
        <f aca="false">IF(P$5="A",Inputs_Actuals!P83,O129*(1+Assumptions!$C$130*Assumptions!$F$171))</f>
        <v>6096.92819344261</v>
      </c>
      <c r="Q129" s="65" t="n">
        <f aca="false">IF(Q$5="A",Inputs_Actuals!Q83,P129*(1+Assumptions!$C$130*Assumptions!$F$171))</f>
        <v>6130.46129850655</v>
      </c>
      <c r="R129" s="65" t="n">
        <f aca="false">IF(R$5="A",Inputs_Actuals!R83,Q129*(1+Assumptions!$C$130*Assumptions!$F$171))</f>
        <v>6164.17883564833</v>
      </c>
      <c r="S129" s="65" t="n">
        <f aca="false">IF(S$5="A",Inputs_Actuals!S83,R129*(1+Assumptions!$C$130*Assumptions!$F$171))</f>
        <v>6198.0818192444</v>
      </c>
      <c r="T129" s="65" t="n">
        <f aca="false">IF(T$5="A",Inputs_Actuals!T83,S129*(1+Assumptions!$C$130*Assumptions!$F$171))</f>
        <v>6232.17126925024</v>
      </c>
      <c r="U129" s="65" t="n">
        <f aca="false">IF(U$5="A",Inputs_Actuals!U83,T129*(1+Assumptions!$C$130*Assumptions!$F$171))</f>
        <v>6266.44821123112</v>
      </c>
      <c r="V129" s="65" t="n">
        <f aca="false">IF(V$5="A",Inputs_Actuals!V83,U129*(1+Assumptions!$C$130*Assumptions!$F$171))</f>
        <v>6300.91367639289</v>
      </c>
      <c r="W129" s="65" t="n">
        <f aca="false">IF(W$5="A",Inputs_Actuals!W83,V129*(1-Assumptions!$C$123*Assumptions!$F$170)*(1-Assumptions!$C$127*Assumptions!$F$170)*(1+Assumptions!W$199)*(1+Assumptions!$C$129*Assumptions!$F$171))</f>
        <v>6195.11818530942</v>
      </c>
      <c r="X129" s="65" t="n">
        <f aca="false">IF(X$5="A",Inputs_Actuals!X83,W129*(1+Assumptions!$C$130*Assumptions!$F$171))</f>
        <v>6229.19133532862</v>
      </c>
      <c r="Y129" s="65" t="n">
        <f aca="false">IF(Y$5="A",Inputs_Actuals!Y83,X129*(1+Assumptions!$C$130*Assumptions!$F$171))</f>
        <v>6263.45188767293</v>
      </c>
      <c r="Z129" s="65" t="n">
        <f aca="false">IF(Z$5="A",Inputs_Actuals!Z83,Y129*(1+Assumptions!$C$130*Assumptions!$F$171))</f>
        <v>6297.90087305513</v>
      </c>
      <c r="AA129" s="65" t="n">
        <f aca="false">IF(AA$5="A",Inputs_Actuals!AA83,Z129*(1+Assumptions!$C$130*Assumptions!$F$171))</f>
        <v>6332.53932785693</v>
      </c>
      <c r="AB129" s="65" t="n">
        <f aca="false">IF(AB$5="A",Inputs_Actuals!AB83,AA129*(1+Assumptions!$C$130*Assumptions!$F$171))</f>
        <v>6367.36829416015</v>
      </c>
    </row>
    <row r="130" customFormat="false" ht="15" hidden="false" customHeight="false" outlineLevel="0" collapsed="false">
      <c r="A130" s="28" t="s">
        <v>944</v>
      </c>
      <c r="B130" s="63" t="s">
        <v>937</v>
      </c>
      <c r="C130" s="64" t="n">
        <f aca="false">P130</f>
        <v>3810.71556003868</v>
      </c>
      <c r="D130" s="64" t="n">
        <f aca="false">AB130</f>
        <v>3979.74663063111</v>
      </c>
      <c r="E130" s="65" t="n">
        <f aca="false">IF(E$5="A",Inputs_Actuals!E84,History!$E$80*(1+Assumptions!$C$130*Assumptions!$F$171))</f>
        <v>4353.7</v>
      </c>
      <c r="F130" s="65" t="n">
        <f aca="false">IF(F$5="A",Inputs_Actuals!F84,E130*(1+Assumptions!$C$130*Assumptions!$F$171))</f>
        <v>4381.18</v>
      </c>
      <c r="G130" s="65" t="n">
        <f aca="false">IF(G$5="A",Inputs_Actuals!G84,F130*(1+Assumptions!$C$130*Assumptions!$F$171))</f>
        <v>4386.63</v>
      </c>
      <c r="H130" s="65" t="n">
        <f aca="false">IF(H$5="A",Inputs_Actuals!H84,G130*(1+Assumptions!$C$130*Assumptions!$F$171))</f>
        <v>4429.1</v>
      </c>
      <c r="I130" s="65" t="n">
        <f aca="false">IF(I$5="A",Inputs_Actuals!I84,H130*(1+Assumptions!$C$130*Assumptions!$F$171))</f>
        <v>4443.13</v>
      </c>
      <c r="J130" s="65" t="n">
        <f aca="false">IF(J$5="A",Inputs_Actuals!J84,I130*(1+Assumptions!$C$130*Assumptions!$F$171))</f>
        <v>4465.25</v>
      </c>
      <c r="K130" s="65" t="n">
        <f aca="false">IF(K$5="A",Inputs_Actuals!K84,J130*(1+Assumptions!$C$130*Assumptions!$F$171))</f>
        <v>4465.78</v>
      </c>
      <c r="L130" s="65" t="n">
        <f aca="false">IF(L$5="A",Inputs_Actuals!L84,K130*(1-Assumptions!$C$123*Assumptions!$F$170)*(1-Assumptions!$C$127*Assumptions!$F$170)*(1+Assumptions!L$199)*(1+Assumptions!$C$129*Assumptions!$F$171))</f>
        <v>3728.02</v>
      </c>
      <c r="M130" s="65" t="n">
        <f aca="false">IF(M$5="A",Inputs_Actuals!M84,L130*(1+Assumptions!$C$130*Assumptions!$F$171))</f>
        <v>3748.52411</v>
      </c>
      <c r="N130" s="65" t="n">
        <f aca="false">IF(N$5="A",Inputs_Actuals!N84,M130*(1+Assumptions!$C$130*Assumptions!$F$171))</f>
        <v>3769.140992605</v>
      </c>
      <c r="O130" s="65" t="n">
        <f aca="false">IF(O$5="A",Inputs_Actuals!O84,N130*(1+Assumptions!$C$130*Assumptions!$F$171))</f>
        <v>3789.87126806433</v>
      </c>
      <c r="P130" s="65" t="n">
        <f aca="false">IF(P$5="A",Inputs_Actuals!P84,O130*(1+Assumptions!$C$130*Assumptions!$F$171))</f>
        <v>3810.71556003868</v>
      </c>
      <c r="Q130" s="65" t="n">
        <f aca="false">IF(Q$5="A",Inputs_Actuals!Q84,P130*(1+Assumptions!$C$130*Assumptions!$F$171))</f>
        <v>3831.6744956189</v>
      </c>
      <c r="R130" s="65" t="n">
        <f aca="false">IF(R$5="A",Inputs_Actuals!R84,Q130*(1+Assumptions!$C$130*Assumptions!$F$171))</f>
        <v>3852.7487053448</v>
      </c>
      <c r="S130" s="65" t="n">
        <f aca="false">IF(S$5="A",Inputs_Actuals!S84,R130*(1+Assumptions!$C$130*Assumptions!$F$171))</f>
        <v>3873.9388232242</v>
      </c>
      <c r="T130" s="65" t="n">
        <f aca="false">IF(T$5="A",Inputs_Actuals!T84,S130*(1+Assumptions!$C$130*Assumptions!$F$171))</f>
        <v>3895.24548675193</v>
      </c>
      <c r="U130" s="65" t="n">
        <f aca="false">IF(U$5="A",Inputs_Actuals!U84,T130*(1+Assumptions!$C$130*Assumptions!$F$171))</f>
        <v>3916.66933692907</v>
      </c>
      <c r="V130" s="65" t="n">
        <f aca="false">IF(V$5="A",Inputs_Actuals!V84,U130*(1+Assumptions!$C$130*Assumptions!$F$171))</f>
        <v>3938.21101828218</v>
      </c>
      <c r="W130" s="65" t="n">
        <f aca="false">IF(W$5="A",Inputs_Actuals!W84,V130*(1+Assumptions!$C$130*Assumptions!$F$171))</f>
        <v>3959.87117888273</v>
      </c>
      <c r="X130" s="65" t="n">
        <f aca="false">IF(X$5="A",Inputs_Actuals!X84,W130*(1-Assumptions!$C$123*Assumptions!$F$170)*(1-Assumptions!$C$127*Assumptions!$F$170)*(1+Assumptions!X$199)*(1+Assumptions!$C$129*Assumptions!$F$171))</f>
        <v>3893.3829618537</v>
      </c>
      <c r="Y130" s="65" t="n">
        <f aca="false">IF(Y$5="A",Inputs_Actuals!Y84,X130*(1+Assumptions!$C$130*Assumptions!$F$171))</f>
        <v>3914.79656814389</v>
      </c>
      <c r="Z130" s="65" t="n">
        <f aca="false">IF(Z$5="A",Inputs_Actuals!Z84,Y130*(1+Assumptions!$C$130*Assumptions!$F$171))</f>
        <v>3936.32794926868</v>
      </c>
      <c r="AA130" s="65" t="n">
        <f aca="false">IF(AA$5="A",Inputs_Actuals!AA84,Z130*(1+Assumptions!$C$130*Assumptions!$F$171))</f>
        <v>3957.97775298966</v>
      </c>
      <c r="AB130" s="65" t="n">
        <f aca="false">IF(AB$5="A",Inputs_Actuals!AB84,AA130*(1+Assumptions!$C$130*Assumptions!$F$171))</f>
        <v>3979.74663063111</v>
      </c>
    </row>
    <row r="131" customFormat="false" ht="15" hidden="false" customHeight="false" outlineLevel="0" collapsed="false">
      <c r="A131" s="28" t="s">
        <v>945</v>
      </c>
      <c r="B131" s="63" t="s">
        <v>937</v>
      </c>
      <c r="C131" s="64" t="n">
        <f aca="false">P131</f>
        <v>5880.51686571956</v>
      </c>
      <c r="D131" s="64" t="n">
        <f aca="false">AB131</f>
        <v>6141.3576568489</v>
      </c>
      <c r="E131" s="65" t="n">
        <f aca="false">IF(E$5="A",Inputs_Actuals!E85,History!$E$81*(1+Assumptions!$C$130*Assumptions!$F$171))</f>
        <v>5663.65</v>
      </c>
      <c r="F131" s="65" t="n">
        <f aca="false">IF(F$5="A",Inputs_Actuals!F85,E131*(1+Assumptions!$C$130*Assumptions!$F$171))</f>
        <v>5696.78</v>
      </c>
      <c r="G131" s="65" t="n">
        <f aca="false">IF(G$5="A",Inputs_Actuals!G85,F131*(1+Assumptions!$C$130*Assumptions!$F$171))</f>
        <v>5704.54</v>
      </c>
      <c r="H131" s="65" t="n">
        <f aca="false">IF(H$5="A",Inputs_Actuals!H85,G131*(1+Assumptions!$C$130*Assumptions!$F$171))</f>
        <v>5733.52</v>
      </c>
      <c r="I131" s="65" t="n">
        <f aca="false">IF(I$5="A",Inputs_Actuals!I85,H131*(1+Assumptions!$C$130*Assumptions!$F$171))</f>
        <v>5794.13</v>
      </c>
      <c r="J131" s="65" t="n">
        <f aca="false">IF(J$5="A",Inputs_Actuals!J85,I131*(1+Assumptions!$C$130*Assumptions!$F$171))</f>
        <v>5800.2</v>
      </c>
      <c r="K131" s="65" t="n">
        <f aca="false">IF(K$5="A",Inputs_Actuals!K85,J131*(1+Assumptions!$C$130*Assumptions!$F$171))</f>
        <v>5837.84</v>
      </c>
      <c r="L131" s="65" t="n">
        <f aca="false">IF(L$5="A",Inputs_Actuals!L85,K131*(1+Assumptions!$C$130*Assumptions!$F$171))</f>
        <v>5883.33</v>
      </c>
      <c r="M131" s="65" t="n">
        <f aca="false">IF(M$5="A",Inputs_Actuals!M85,L131*(1-Assumptions!$C$123*Assumptions!$F$170)*(1-Assumptions!$C$127*Assumptions!$F$170)*(1+Assumptions!M$199)*(1+Assumptions!$C$129*Assumptions!$F$171))</f>
        <v>5784.545947635</v>
      </c>
      <c r="N131" s="65" t="n">
        <f aca="false">IF(N$5="A",Inputs_Actuals!N85,M131*(1+Assumptions!$C$130*Assumptions!$F$171))</f>
        <v>5816.36095034699</v>
      </c>
      <c r="O131" s="65" t="n">
        <f aca="false">IF(O$5="A",Inputs_Actuals!O85,N131*(1+Assumptions!$C$130*Assumptions!$F$171))</f>
        <v>5848.3509355739</v>
      </c>
      <c r="P131" s="65" t="n">
        <f aca="false">IF(P$5="A",Inputs_Actuals!P85,O131*(1+Assumptions!$C$130*Assumptions!$F$171))</f>
        <v>5880.51686571956</v>
      </c>
      <c r="Q131" s="65" t="n">
        <f aca="false">IF(Q$5="A",Inputs_Actuals!Q85,P131*(1+Assumptions!$C$130*Assumptions!$F$171))</f>
        <v>5912.85970848102</v>
      </c>
      <c r="R131" s="65" t="n">
        <f aca="false">IF(R$5="A",Inputs_Actuals!R85,Q131*(1+Assumptions!$C$130*Assumptions!$F$171))</f>
        <v>5945.38043687766</v>
      </c>
      <c r="S131" s="65" t="n">
        <f aca="false">IF(S$5="A",Inputs_Actuals!S85,R131*(1+Assumptions!$C$130*Assumptions!$F$171))</f>
        <v>5978.08002928049</v>
      </c>
      <c r="T131" s="65" t="n">
        <f aca="false">IF(T$5="A",Inputs_Actuals!T85,S131*(1+Assumptions!$C$130*Assumptions!$F$171))</f>
        <v>6010.95946944153</v>
      </c>
      <c r="U131" s="65" t="n">
        <f aca="false">IF(U$5="A",Inputs_Actuals!U85,T131*(1+Assumptions!$C$130*Assumptions!$F$171))</f>
        <v>6044.01974652346</v>
      </c>
      <c r="V131" s="65" t="n">
        <f aca="false">IF(V$5="A",Inputs_Actuals!V85,U131*(1+Assumptions!$C$130*Assumptions!$F$171))</f>
        <v>6077.26185512934</v>
      </c>
      <c r="W131" s="65" t="n">
        <f aca="false">IF(W$5="A",Inputs_Actuals!W85,V131*(1+Assumptions!$C$130*Assumptions!$F$171))</f>
        <v>6110.68679533255</v>
      </c>
      <c r="X131" s="65" t="n">
        <f aca="false">IF(X$5="A",Inputs_Actuals!X85,W131*(1+Assumptions!$C$130*Assumptions!$F$171))</f>
        <v>6144.29557270688</v>
      </c>
      <c r="Y131" s="65" t="n">
        <f aca="false">IF(Y$5="A",Inputs_Actuals!Y85,X131*(1-Assumptions!$C$123*Assumptions!$F$170)*(1-Assumptions!$C$127*Assumptions!$F$170)*(1+Assumptions!Y$199)*(1+Assumptions!$C$129*Assumptions!$F$171))</f>
        <v>6041.12977789335</v>
      </c>
      <c r="Z131" s="65" t="n">
        <f aca="false">IF(Z$5="A",Inputs_Actuals!Z85,Y131*(1+Assumptions!$C$130*Assumptions!$F$171))</f>
        <v>6074.35599167176</v>
      </c>
      <c r="AA131" s="65" t="n">
        <f aca="false">IF(AA$5="A",Inputs_Actuals!AA85,Z131*(1+Assumptions!$C$130*Assumptions!$F$171))</f>
        <v>6107.76494962596</v>
      </c>
      <c r="AB131" s="65" t="n">
        <f aca="false">IF(AB$5="A",Inputs_Actuals!AB85,AA131*(1+Assumptions!$C$130*Assumptions!$F$171))</f>
        <v>6141.3576568489</v>
      </c>
    </row>
    <row r="132" customFormat="false" ht="15" hidden="false" customHeight="false" outlineLevel="0" collapsed="false">
      <c r="A132" s="28" t="s">
        <v>946</v>
      </c>
      <c r="B132" s="63" t="s">
        <v>937</v>
      </c>
      <c r="C132" s="64" t="n">
        <f aca="false">P132</f>
        <v>6922.41843860873</v>
      </c>
      <c r="D132" s="64" t="n">
        <f aca="false">AB132</f>
        <v>7229.47462827483</v>
      </c>
      <c r="E132" s="65" t="n">
        <f aca="false">IF(E$5="A",Inputs_Actuals!E86,History!$E$82*(1+Assumptions!$C$130*Assumptions!$F$171))</f>
        <v>6673.17</v>
      </c>
      <c r="F132" s="65" t="n">
        <f aca="false">IF(F$5="A",Inputs_Actuals!F86,E132*(1+Assumptions!$C$130*Assumptions!$F$171))</f>
        <v>6705.88</v>
      </c>
      <c r="G132" s="65" t="n">
        <f aca="false">IF(G$5="A",Inputs_Actuals!G86,F132*(1+Assumptions!$C$130*Assumptions!$F$171))</f>
        <v>6748.33</v>
      </c>
      <c r="H132" s="65" t="n">
        <f aca="false">IF(H$5="A",Inputs_Actuals!H86,G132*(1+Assumptions!$C$130*Assumptions!$F$171))</f>
        <v>6780.36</v>
      </c>
      <c r="I132" s="65" t="n">
        <f aca="false">IF(I$5="A",Inputs_Actuals!I86,H132*(1+Assumptions!$C$130*Assumptions!$F$171))</f>
        <v>6804.17</v>
      </c>
      <c r="J132" s="65" t="n">
        <f aca="false">IF(J$5="A",Inputs_Actuals!J86,I132*(1+Assumptions!$C$130*Assumptions!$F$171))</f>
        <v>6827.79</v>
      </c>
      <c r="K132" s="65" t="n">
        <f aca="false">IF(K$5="A",Inputs_Actuals!K86,J132*(1+Assumptions!$C$130*Assumptions!$F$171))</f>
        <v>6877.84</v>
      </c>
      <c r="L132" s="65" t="n">
        <f aca="false">IF(L$5="A",Inputs_Actuals!L86,K132*(1+Assumptions!$C$130*Assumptions!$F$171))</f>
        <v>6925.73</v>
      </c>
      <c r="M132" s="65" t="n">
        <f aca="false">IF(M$5="A",Inputs_Actuals!M86,L132*(1+Assumptions!$C$130*Assumptions!$F$171))</f>
        <v>6963.821515</v>
      </c>
      <c r="N132" s="65" t="n">
        <f aca="false">IF(N$5="A",Inputs_Actuals!N86,M132*(1-Assumptions!$C$123*Assumptions!$F$170)*(1-Assumptions!$C$127*Assumptions!$F$170)*(1+Assumptions!N$199)*(1+Assumptions!$C$129*Assumptions!$F$171))</f>
        <v>6846.89546985239</v>
      </c>
      <c r="O132" s="65" t="n">
        <f aca="false">IF(O$5="A",Inputs_Actuals!O86,N132*(1+Assumptions!$C$130*Assumptions!$F$171))</f>
        <v>6884.55339493658</v>
      </c>
      <c r="P132" s="65" t="n">
        <f aca="false">IF(P$5="A",Inputs_Actuals!P86,O132*(1+Assumptions!$C$130*Assumptions!$F$171))</f>
        <v>6922.41843860873</v>
      </c>
      <c r="Q132" s="65" t="n">
        <f aca="false">IF(Q$5="A",Inputs_Actuals!Q86,P132*(1+Assumptions!$C$130*Assumptions!$F$171))</f>
        <v>6960.49174002108</v>
      </c>
      <c r="R132" s="65" t="n">
        <f aca="false">IF(R$5="A",Inputs_Actuals!R86,Q132*(1+Assumptions!$C$130*Assumptions!$F$171))</f>
        <v>6998.7744445912</v>
      </c>
      <c r="S132" s="65" t="n">
        <f aca="false">IF(S$5="A",Inputs_Actuals!S86,R132*(1+Assumptions!$C$130*Assumptions!$F$171))</f>
        <v>7037.26770403645</v>
      </c>
      <c r="T132" s="65" t="n">
        <f aca="false">IF(T$5="A",Inputs_Actuals!T86,S132*(1+Assumptions!$C$130*Assumptions!$F$171))</f>
        <v>7075.97267640865</v>
      </c>
      <c r="U132" s="65" t="n">
        <f aca="false">IF(U$5="A",Inputs_Actuals!U86,T132*(1+Assumptions!$C$130*Assumptions!$F$171))</f>
        <v>7114.8905261289</v>
      </c>
      <c r="V132" s="65" t="n">
        <f aca="false">IF(V$5="A",Inputs_Actuals!V86,U132*(1+Assumptions!$C$130*Assumptions!$F$171))</f>
        <v>7154.02242402261</v>
      </c>
      <c r="W132" s="65" t="n">
        <f aca="false">IF(W$5="A",Inputs_Actuals!W86,V132*(1+Assumptions!$C$130*Assumptions!$F$171))</f>
        <v>7193.36954735474</v>
      </c>
      <c r="X132" s="65" t="n">
        <f aca="false">IF(X$5="A",Inputs_Actuals!X86,W132*(1+Assumptions!$C$130*Assumptions!$F$171))</f>
        <v>7232.93307986519</v>
      </c>
      <c r="Y132" s="65" t="n">
        <f aca="false">IF(Y$5="A",Inputs_Actuals!Y86,X132*(1+Assumptions!$C$130*Assumptions!$F$171))</f>
        <v>7272.71421180445</v>
      </c>
      <c r="Z132" s="65" t="n">
        <f aca="false">IF(Z$5="A",Inputs_Actuals!Z86,Y132*(1-Assumptions!$C$123*Assumptions!$F$170)*(1-Assumptions!$C$127*Assumptions!$F$170)*(1+Assumptions!Z$199)*(1+Assumptions!$C$129*Assumptions!$F$171))</f>
        <v>7150.60170383114</v>
      </c>
      <c r="AA132" s="65" t="n">
        <f aca="false">IF(AA$5="A",Inputs_Actuals!AA86,Z132*(1+Assumptions!$C$130*Assumptions!$F$171))</f>
        <v>7189.93001320221</v>
      </c>
      <c r="AB132" s="65" t="n">
        <f aca="false">IF(AB$5="A",Inputs_Actuals!AB86,AA132*(1+Assumptions!$C$130*Assumptions!$F$171))</f>
        <v>7229.47462827483</v>
      </c>
    </row>
    <row r="133" customFormat="false" ht="15" hidden="false" customHeight="false" outlineLevel="0" collapsed="false">
      <c r="A133" s="28" t="s">
        <v>947</v>
      </c>
      <c r="B133" s="63" t="s">
        <v>937</v>
      </c>
      <c r="C133" s="64" t="n">
        <f aca="false">P133</f>
        <v>3306.49823027938</v>
      </c>
      <c r="D133" s="64" t="n">
        <f aca="false">AB133</f>
        <v>3453.16384385522</v>
      </c>
      <c r="E133" s="65" t="n">
        <f aca="false">IF(E$5="A",Inputs_Actuals!E87,History!$E$83*(1+Assumptions!$C$130*Assumptions!$F$171))</f>
        <v>3164.35</v>
      </c>
      <c r="F133" s="65" t="n">
        <f aca="false">IF(F$5="A",Inputs_Actuals!F87,E133*(1+Assumptions!$C$130*Assumptions!$F$171))</f>
        <v>3175.21</v>
      </c>
      <c r="G133" s="65" t="n">
        <f aca="false">IF(G$5="A",Inputs_Actuals!G87,F133*(1+Assumptions!$C$130*Assumptions!$F$171))</f>
        <v>3194.86</v>
      </c>
      <c r="H133" s="65" t="n">
        <f aca="false">IF(H$5="A",Inputs_Actuals!H87,G133*(1+Assumptions!$C$130*Assumptions!$F$171))</f>
        <v>3207.07</v>
      </c>
      <c r="I133" s="65" t="n">
        <f aca="false">IF(I$5="A",Inputs_Actuals!I87,H133*(1+Assumptions!$C$130*Assumptions!$F$171))</f>
        <v>3243.51</v>
      </c>
      <c r="J133" s="65" t="n">
        <f aca="false">IF(J$5="A",Inputs_Actuals!J87,I133*(1+Assumptions!$C$130*Assumptions!$F$171))</f>
        <v>3283.58</v>
      </c>
      <c r="K133" s="65" t="n">
        <f aca="false">IF(K$5="A",Inputs_Actuals!K87,J133*(1+Assumptions!$C$130*Assumptions!$F$171))</f>
        <v>3285.03</v>
      </c>
      <c r="L133" s="65" t="n">
        <f aca="false">IF(L$5="A",Inputs_Actuals!L87,K133*(1+Assumptions!$C$130*Assumptions!$F$171))</f>
        <v>3308.08</v>
      </c>
      <c r="M133" s="65" t="n">
        <f aca="false">IF(M$5="A",Inputs_Actuals!M87,L133*(1+Assumptions!$C$130*Assumptions!$F$171))</f>
        <v>3326.27444</v>
      </c>
      <c r="N133" s="65" t="n">
        <f aca="false">IF(N$5="A",Inputs_Actuals!N87,M133*(1+Assumptions!$C$130*Assumptions!$F$171))</f>
        <v>3344.56894942</v>
      </c>
      <c r="O133" s="65" t="n">
        <f aca="false">IF(O$5="A",Inputs_Actuals!O87,N133*(1-Assumptions!$C$123*Assumptions!$F$170)*(1-Assumptions!$C$127*Assumptions!$F$170)*(1+Assumptions!O$199)*(1+Assumptions!$C$129*Assumptions!$F$171))</f>
        <v>3288.41196447476</v>
      </c>
      <c r="P133" s="65" t="n">
        <f aca="false">IF(P$5="A",Inputs_Actuals!P87,O133*(1+Assumptions!$C$130*Assumptions!$F$171))</f>
        <v>3306.49823027938</v>
      </c>
      <c r="Q133" s="65" t="n">
        <f aca="false">IF(Q$5="A",Inputs_Actuals!Q87,P133*(1+Assumptions!$C$130*Assumptions!$F$171))</f>
        <v>3324.68397054591</v>
      </c>
      <c r="R133" s="65" t="n">
        <f aca="false">IF(R$5="A",Inputs_Actuals!R87,Q133*(1+Assumptions!$C$130*Assumptions!$F$171))</f>
        <v>3342.96973238392</v>
      </c>
      <c r="S133" s="65" t="n">
        <f aca="false">IF(S$5="A",Inputs_Actuals!S87,R133*(1+Assumptions!$C$130*Assumptions!$F$171))</f>
        <v>3361.35606591203</v>
      </c>
      <c r="T133" s="65" t="n">
        <f aca="false">IF(T$5="A",Inputs_Actuals!T87,S133*(1+Assumptions!$C$130*Assumptions!$F$171))</f>
        <v>3379.84352427454</v>
      </c>
      <c r="U133" s="65" t="n">
        <f aca="false">IF(U$5="A",Inputs_Actuals!U87,T133*(1+Assumptions!$C$130*Assumptions!$F$171))</f>
        <v>3398.43266365805</v>
      </c>
      <c r="V133" s="65" t="n">
        <f aca="false">IF(V$5="A",Inputs_Actuals!V87,U133*(1+Assumptions!$C$130*Assumptions!$F$171))</f>
        <v>3417.12404330817</v>
      </c>
      <c r="W133" s="65" t="n">
        <f aca="false">IF(W$5="A",Inputs_Actuals!W87,V133*(1+Assumptions!$C$130*Assumptions!$F$171))</f>
        <v>3435.91822554637</v>
      </c>
      <c r="X133" s="65" t="n">
        <f aca="false">IF(X$5="A",Inputs_Actuals!X87,W133*(1+Assumptions!$C$130*Assumptions!$F$171))</f>
        <v>3454.81577578687</v>
      </c>
      <c r="Y133" s="65" t="n">
        <f aca="false">IF(Y$5="A",Inputs_Actuals!Y87,X133*(1+Assumptions!$C$130*Assumptions!$F$171))</f>
        <v>3473.8172625537</v>
      </c>
      <c r="Z133" s="65" t="n">
        <f aca="false">IF(Z$5="A",Inputs_Actuals!Z87,Y133*(1+Assumptions!$C$130*Assumptions!$F$171))</f>
        <v>3492.92325749775</v>
      </c>
      <c r="AA133" s="65" t="n">
        <f aca="false">IF(AA$5="A",Inputs_Actuals!AA87,Z133*(1-Assumptions!$C$123*Assumptions!$F$170)*(1-Assumptions!$C$127*Assumptions!$F$170)*(1+Assumptions!AA$199)*(1+Assumptions!$C$129*Assumptions!$F$171))</f>
        <v>3434.27532954273</v>
      </c>
      <c r="AB133" s="65" t="n">
        <f aca="false">IF(AB$5="A",Inputs_Actuals!AB87,AA133*(1+Assumptions!$C$130*Assumptions!$F$171))</f>
        <v>3453.16384385522</v>
      </c>
    </row>
    <row r="134" customFormat="false" ht="15" hidden="false" customHeight="false" outlineLevel="0" collapsed="false">
      <c r="A134" s="28" t="s">
        <v>948</v>
      </c>
      <c r="B134" s="63" t="s">
        <v>937</v>
      </c>
      <c r="C134" s="64" t="n">
        <f aca="false">P134</f>
        <v>5373.82925602586</v>
      </c>
      <c r="D134" s="64" t="n">
        <f aca="false">AB134</f>
        <v>5612.19501647577</v>
      </c>
      <c r="E134" s="65" t="n">
        <f aca="false">IF(E$5="A",Inputs_Actuals!E88,History!$E$84*(1+Assumptions!$C$130*Assumptions!$F$171))</f>
        <v>5220.36</v>
      </c>
      <c r="F134" s="65" t="n">
        <f aca="false">IF(F$5="A",Inputs_Actuals!F88,E134*(1+Assumptions!$C$130*Assumptions!$F$171))</f>
        <v>5232.16</v>
      </c>
      <c r="G134" s="65" t="n">
        <f aca="false">IF(G$5="A",Inputs_Actuals!G88,F134*(1+Assumptions!$C$130*Assumptions!$F$171))</f>
        <v>5251.44</v>
      </c>
      <c r="H134" s="65" t="n">
        <f aca="false">IF(H$5="A",Inputs_Actuals!H88,G134*(1+Assumptions!$C$130*Assumptions!$F$171))</f>
        <v>5251.44</v>
      </c>
      <c r="I134" s="65" t="n">
        <f aca="false">IF(I$5="A",Inputs_Actuals!I88,H134*(1+Assumptions!$C$130*Assumptions!$F$171))</f>
        <v>5295.48</v>
      </c>
      <c r="J134" s="65" t="n">
        <f aca="false">IF(J$5="A",Inputs_Actuals!J88,I134*(1+Assumptions!$C$130*Assumptions!$F$171))</f>
        <v>5313.13</v>
      </c>
      <c r="K134" s="65" t="n">
        <f aca="false">IF(K$5="A",Inputs_Actuals!K88,J134*(1+Assumptions!$C$130*Assumptions!$F$171))</f>
        <v>5346.79</v>
      </c>
      <c r="L134" s="65" t="n">
        <f aca="false">IF(L$5="A",Inputs_Actuals!L88,K134*(1+Assumptions!$C$130*Assumptions!$F$171))</f>
        <v>5376.4</v>
      </c>
      <c r="M134" s="65" t="n">
        <f aca="false">IF(M$5="A",Inputs_Actuals!M88,L134*(1+Assumptions!$C$130*Assumptions!$F$171))</f>
        <v>5405.9702</v>
      </c>
      <c r="N134" s="65" t="n">
        <f aca="false">IF(N$5="A",Inputs_Actuals!N88,M134*(1+Assumptions!$C$130*Assumptions!$F$171))</f>
        <v>5435.7030361</v>
      </c>
      <c r="O134" s="65" t="n">
        <f aca="false">IF(O$5="A",Inputs_Actuals!O88,N134*(1+Assumptions!$C$130*Assumptions!$F$171))</f>
        <v>5465.59940279855</v>
      </c>
      <c r="P134" s="65" t="n">
        <f aca="false">IF(P$5="A",Inputs_Actuals!P88,O134*(1-Assumptions!$C$123*Assumptions!$F$170)*(1-Assumptions!$C$127*Assumptions!$F$170)*(1+Assumptions!P$199)*(1+Assumptions!$C$129*Assumptions!$F$171))</f>
        <v>5373.82925602586</v>
      </c>
      <c r="Q134" s="65" t="n">
        <f aca="false">IF(Q$5="A",Inputs_Actuals!Q88,P134*(1+Assumptions!$C$130*Assumptions!$F$171))</f>
        <v>5403.385316934</v>
      </c>
      <c r="R134" s="65" t="n">
        <f aca="false">IF(R$5="A",Inputs_Actuals!R88,Q134*(1+Assumptions!$C$130*Assumptions!$F$171))</f>
        <v>5433.10393617714</v>
      </c>
      <c r="S134" s="65" t="n">
        <f aca="false">IF(S$5="A",Inputs_Actuals!S88,R134*(1+Assumptions!$C$130*Assumptions!$F$171))</f>
        <v>5462.98600782611</v>
      </c>
      <c r="T134" s="65" t="n">
        <f aca="false">IF(T$5="A",Inputs_Actuals!T88,S134*(1+Assumptions!$C$130*Assumptions!$F$171))</f>
        <v>5493.03243086916</v>
      </c>
      <c r="U134" s="65" t="n">
        <f aca="false">IF(U$5="A",Inputs_Actuals!U88,T134*(1+Assumptions!$C$130*Assumptions!$F$171))</f>
        <v>5523.24410923894</v>
      </c>
      <c r="V134" s="65" t="n">
        <f aca="false">IF(V$5="A",Inputs_Actuals!V88,U134*(1+Assumptions!$C$130*Assumptions!$F$171))</f>
        <v>5553.62195183976</v>
      </c>
      <c r="W134" s="65" t="n">
        <f aca="false">IF(W$5="A",Inputs_Actuals!W88,V134*(1+Assumptions!$C$130*Assumptions!$F$171))</f>
        <v>5584.16687257487</v>
      </c>
      <c r="X134" s="65" t="n">
        <f aca="false">IF(X$5="A",Inputs_Actuals!X88,W134*(1+Assumptions!$C$130*Assumptions!$F$171))</f>
        <v>5614.87979037404</v>
      </c>
      <c r="Y134" s="65" t="n">
        <f aca="false">IF(Y$5="A",Inputs_Actuals!Y88,X134*(1+Assumptions!$C$130*Assumptions!$F$171))</f>
        <v>5645.76162922109</v>
      </c>
      <c r="Z134" s="65" t="n">
        <f aca="false">IF(Z$5="A",Inputs_Actuals!Z88,Y134*(1+Assumptions!$C$130*Assumptions!$F$171))</f>
        <v>5676.81331818181</v>
      </c>
      <c r="AA134" s="65" t="n">
        <f aca="false">IF(AA$5="A",Inputs_Actuals!AA88,Z134*(1+Assumptions!$C$130*Assumptions!$F$171))</f>
        <v>5708.03579143181</v>
      </c>
      <c r="AB134" s="65" t="n">
        <f aca="false">IF(AB$5="A",Inputs_Actuals!AB88,AA134*(1-Assumptions!$C$123*Assumptions!$F$170)*(1-Assumptions!$C$127*Assumptions!$F$170)*(1+Assumptions!AB$199)*(1+Assumptions!$C$129*Assumptions!$F$171))</f>
        <v>5612.19501647577</v>
      </c>
    </row>
    <row r="135" customFormat="false" ht="15" hidden="false" customHeight="false" outlineLevel="0" collapsed="false">
      <c r="A135" s="28" t="s">
        <v>873</v>
      </c>
      <c r="B135" s="63" t="s">
        <v>937</v>
      </c>
      <c r="C135" s="64" t="n">
        <f aca="false">P135</f>
        <v>0</v>
      </c>
      <c r="D135" s="64" t="n">
        <f aca="false">AB135</f>
        <v>0</v>
      </c>
      <c r="E135" s="65" t="n">
        <f aca="false">IF(E$5="A",Inputs_Actuals!E89,History!$E$85*(1-Assumptions!$C$123*Assumptions!$F$170)*(1-Assumptions!$C$127*Assumptions!$F$170)*(1+Assumptions!E$199)*(1+Assumptions!$C$129*Assumptions!$F$171))</f>
        <v>0</v>
      </c>
      <c r="F135" s="65" t="n">
        <f aca="false">IF(F$5="A",Inputs_Actuals!F89,E135*(1+Assumptions!$C$130*Assumptions!$F$171))</f>
        <v>0</v>
      </c>
      <c r="G135" s="65" t="n">
        <f aca="false">IF(G$5="A",Inputs_Actuals!G89,F135*(1+Assumptions!$C$130*Assumptions!$F$171))</f>
        <v>0</v>
      </c>
      <c r="H135" s="65" t="n">
        <f aca="false">IF(H$5="A",Inputs_Actuals!H89,G135*(1+Assumptions!$C$130*Assumptions!$F$171))</f>
        <v>0</v>
      </c>
      <c r="I135" s="65" t="n">
        <f aca="false">IF(I$5="A",Inputs_Actuals!I89,H135*(1+Assumptions!$C$130*Assumptions!$F$171))</f>
        <v>0</v>
      </c>
      <c r="J135" s="65" t="n">
        <f aca="false">IF(J$5="A",Inputs_Actuals!J89,I135*(1+Assumptions!$C$130*Assumptions!$F$171))</f>
        <v>0</v>
      </c>
      <c r="K135" s="65" t="n">
        <f aca="false">IF(K$5="A",Inputs_Actuals!K89,J135*(1+Assumptions!$C$130*Assumptions!$F$171))</f>
        <v>0</v>
      </c>
      <c r="L135" s="65" t="n">
        <f aca="false">IF(L$5="A",Inputs_Actuals!L89,K135*(1+Assumptions!$C$130*Assumptions!$F$171))</f>
        <v>0</v>
      </c>
      <c r="M135" s="65" t="n">
        <f aca="false">IF(M$5="A",Inputs_Actuals!M89,L135*(1+Assumptions!$C$130*Assumptions!$F$171))</f>
        <v>0</v>
      </c>
      <c r="N135" s="65" t="n">
        <f aca="false">IF(N$5="A",Inputs_Actuals!N89,M135*(1+Assumptions!$C$130*Assumptions!$F$171))</f>
        <v>0</v>
      </c>
      <c r="O135" s="65" t="n">
        <f aca="false">IF(O$5="A",Inputs_Actuals!O89,N135*(1+Assumptions!$C$130*Assumptions!$F$171))</f>
        <v>0</v>
      </c>
      <c r="P135" s="65" t="n">
        <f aca="false">IF(P$5="A",Inputs_Actuals!P89,O135*(1+Assumptions!$C$130*Assumptions!$F$171))</f>
        <v>0</v>
      </c>
      <c r="Q135" s="65" t="n">
        <f aca="false">IF(Q$5="A",Inputs_Actuals!Q89,P135*(1-Assumptions!$C$123*Assumptions!$F$170)*(1-Assumptions!$C$127*Assumptions!$F$170)*(1+Assumptions!Q$199)*(1+Assumptions!$C$129*Assumptions!$F$171))</f>
        <v>0</v>
      </c>
      <c r="R135" s="65" t="n">
        <f aca="false">IF(R$5="A",Inputs_Actuals!R89,Q135*(1+Assumptions!$C$130*Assumptions!$F$171))</f>
        <v>0</v>
      </c>
      <c r="S135" s="65" t="n">
        <f aca="false">IF(S$5="A",Inputs_Actuals!S89,R135*(1+Assumptions!$C$130*Assumptions!$F$171))</f>
        <v>0</v>
      </c>
      <c r="T135" s="65" t="n">
        <f aca="false">IF(T$5="A",Inputs_Actuals!T89,S135*(1+Assumptions!$C$130*Assumptions!$F$171))</f>
        <v>0</v>
      </c>
      <c r="U135" s="65" t="n">
        <f aca="false">IF(U$5="A",Inputs_Actuals!U89,T135*(1+Assumptions!$C$130*Assumptions!$F$171))</f>
        <v>0</v>
      </c>
      <c r="V135" s="65" t="n">
        <f aca="false">IF(V$5="A",Inputs_Actuals!V89,U135*(1+Assumptions!$C$130*Assumptions!$F$171))</f>
        <v>0</v>
      </c>
      <c r="W135" s="65" t="n">
        <f aca="false">IF(W$5="A",Inputs_Actuals!W89,V135*(1+Assumptions!$C$130*Assumptions!$F$171))</f>
        <v>0</v>
      </c>
      <c r="X135" s="65" t="n">
        <f aca="false">IF(X$5="A",Inputs_Actuals!X89,W135*(1+Assumptions!$C$130*Assumptions!$F$171))</f>
        <v>0</v>
      </c>
      <c r="Y135" s="65" t="n">
        <f aca="false">IF(Y$5="A",Inputs_Actuals!Y89,X135*(1+Assumptions!$C$130*Assumptions!$F$171))</f>
        <v>0</v>
      </c>
      <c r="Z135" s="65" t="n">
        <f aca="false">IF(Z$5="A",Inputs_Actuals!Z89,Y135*(1+Assumptions!$C$130*Assumptions!$F$171))</f>
        <v>0</v>
      </c>
      <c r="AA135" s="65" t="n">
        <f aca="false">IF(AA$5="A",Inputs_Actuals!AA89,Z135*(1+Assumptions!$C$130*Assumptions!$F$171))</f>
        <v>0</v>
      </c>
      <c r="AB135" s="65" t="n">
        <f aca="false">IF(AB$5="A",Inputs_Actuals!AB89,AA135*(1+Assumptions!$C$130*Assumptions!$F$171))</f>
        <v>0</v>
      </c>
    </row>
    <row r="136" customFormat="false" ht="15" hidden="false" customHeight="false" outlineLevel="0" collapsed="false">
      <c r="A136" s="28" t="s">
        <v>874</v>
      </c>
      <c r="B136" s="63" t="s">
        <v>937</v>
      </c>
      <c r="C136" s="64" t="n">
        <f aca="false">P136</f>
        <v>0</v>
      </c>
      <c r="D136" s="64" t="n">
        <f aca="false">AB136</f>
        <v>0</v>
      </c>
      <c r="E136" s="65" t="n">
        <f aca="false">IF(E$5="A",Inputs_Actuals!E90,History!$E$86*(1+Assumptions!$C$130*Assumptions!$F$171))</f>
        <v>1000.42</v>
      </c>
      <c r="F136" s="65" t="n">
        <f aca="false">IF(F$5="A",Inputs_Actuals!F90,E136*(1-Assumptions!$C$123*Assumptions!$F$170)*(1-Assumptions!$C$127*Assumptions!$F$170)*(1+Assumptions!F$199)*(1+Assumptions!$C$129*Assumptions!$F$171))</f>
        <v>0</v>
      </c>
      <c r="G136" s="65" t="n">
        <f aca="false">IF(G$5="A",Inputs_Actuals!G90,F136*(1+Assumptions!$C$130*Assumptions!$F$171))</f>
        <v>0</v>
      </c>
      <c r="H136" s="65" t="n">
        <f aca="false">IF(H$5="A",Inputs_Actuals!H90,G136*(1+Assumptions!$C$130*Assumptions!$F$171))</f>
        <v>0</v>
      </c>
      <c r="I136" s="65" t="n">
        <f aca="false">IF(I$5="A",Inputs_Actuals!I90,H136*(1+Assumptions!$C$130*Assumptions!$F$171))</f>
        <v>0</v>
      </c>
      <c r="J136" s="65" t="n">
        <f aca="false">IF(J$5="A",Inputs_Actuals!J90,I136*(1+Assumptions!$C$130*Assumptions!$F$171))</f>
        <v>0</v>
      </c>
      <c r="K136" s="65" t="n">
        <f aca="false">IF(K$5="A",Inputs_Actuals!K90,J136*(1+Assumptions!$C$130*Assumptions!$F$171))</f>
        <v>0</v>
      </c>
      <c r="L136" s="65" t="n">
        <f aca="false">IF(L$5="A",Inputs_Actuals!L90,K136*(1+Assumptions!$C$130*Assumptions!$F$171))</f>
        <v>0</v>
      </c>
      <c r="M136" s="65" t="n">
        <f aca="false">IF(M$5="A",Inputs_Actuals!M90,L136*(1+Assumptions!$C$130*Assumptions!$F$171))</f>
        <v>0</v>
      </c>
      <c r="N136" s="65" t="n">
        <f aca="false">IF(N$5="A",Inputs_Actuals!N90,M136*(1+Assumptions!$C$130*Assumptions!$F$171))</f>
        <v>0</v>
      </c>
      <c r="O136" s="65" t="n">
        <f aca="false">IF(O$5="A",Inputs_Actuals!O90,N136*(1+Assumptions!$C$130*Assumptions!$F$171))</f>
        <v>0</v>
      </c>
      <c r="P136" s="65" t="n">
        <f aca="false">IF(P$5="A",Inputs_Actuals!P90,O136*(1+Assumptions!$C$130*Assumptions!$F$171))</f>
        <v>0</v>
      </c>
      <c r="Q136" s="65" t="n">
        <f aca="false">IF(Q$5="A",Inputs_Actuals!Q90,P136*(1+Assumptions!$C$130*Assumptions!$F$171))</f>
        <v>0</v>
      </c>
      <c r="R136" s="65" t="n">
        <f aca="false">IF(R$5="A",Inputs_Actuals!R90,Q136*(1-Assumptions!$C$123*Assumptions!$F$170)*(1-Assumptions!$C$127*Assumptions!$F$170)*(1+Assumptions!R$199)*(1+Assumptions!$C$129*Assumptions!$F$171))</f>
        <v>0</v>
      </c>
      <c r="S136" s="65" t="n">
        <f aca="false">IF(S$5="A",Inputs_Actuals!S90,R136*(1+Assumptions!$C$130*Assumptions!$F$171))</f>
        <v>0</v>
      </c>
      <c r="T136" s="65" t="n">
        <f aca="false">IF(T$5="A",Inputs_Actuals!T90,S136*(1+Assumptions!$C$130*Assumptions!$F$171))</f>
        <v>0</v>
      </c>
      <c r="U136" s="65" t="n">
        <f aca="false">IF(U$5="A",Inputs_Actuals!U90,T136*(1+Assumptions!$C$130*Assumptions!$F$171))</f>
        <v>0</v>
      </c>
      <c r="V136" s="65" t="n">
        <f aca="false">IF(V$5="A",Inputs_Actuals!V90,U136*(1+Assumptions!$C$130*Assumptions!$F$171))</f>
        <v>0</v>
      </c>
      <c r="W136" s="65" t="n">
        <f aca="false">IF(W$5="A",Inputs_Actuals!W90,V136*(1+Assumptions!$C$130*Assumptions!$F$171))</f>
        <v>0</v>
      </c>
      <c r="X136" s="65" t="n">
        <f aca="false">IF(X$5="A",Inputs_Actuals!X90,W136*(1+Assumptions!$C$130*Assumptions!$F$171))</f>
        <v>0</v>
      </c>
      <c r="Y136" s="65" t="n">
        <f aca="false">IF(Y$5="A",Inputs_Actuals!Y90,X136*(1+Assumptions!$C$130*Assumptions!$F$171))</f>
        <v>0</v>
      </c>
      <c r="Z136" s="65" t="n">
        <f aca="false">IF(Z$5="A",Inputs_Actuals!Z90,Y136*(1+Assumptions!$C$130*Assumptions!$F$171))</f>
        <v>0</v>
      </c>
      <c r="AA136" s="65" t="n">
        <f aca="false">IF(AA$5="A",Inputs_Actuals!AA90,Z136*(1+Assumptions!$C$130*Assumptions!$F$171))</f>
        <v>0</v>
      </c>
      <c r="AB136" s="65" t="n">
        <f aca="false">IF(AB$5="A",Inputs_Actuals!AB90,AA136*(1+Assumptions!$C$130*Assumptions!$F$171))</f>
        <v>0</v>
      </c>
    </row>
    <row r="137" customFormat="false" ht="15" hidden="false" customHeight="false" outlineLevel="0" collapsed="false">
      <c r="A137" s="28" t="s">
        <v>875</v>
      </c>
      <c r="B137" s="63" t="s">
        <v>937</v>
      </c>
      <c r="C137" s="64" t="n">
        <f aca="false">P137</f>
        <v>1149.3109624521</v>
      </c>
      <c r="D137" s="64" t="n">
        <f aca="false">AB137</f>
        <v>1200.29069561931</v>
      </c>
      <c r="E137" s="65" t="n">
        <f aca="false">IF(E$5="A",Inputs_Actuals!E91,History!$E$87*(1+Assumptions!$C$130*Assumptions!$F$171))</f>
        <v>1012.07</v>
      </c>
      <c r="F137" s="65" t="n">
        <f aca="false">IF(F$5="A",Inputs_Actuals!F91,E137*(1+Assumptions!$C$130*Assumptions!$F$171))</f>
        <v>1018.34</v>
      </c>
      <c r="G137" s="65" t="n">
        <f aca="false">IF(G$5="A",Inputs_Actuals!G91,F137*(1-Assumptions!$C$123*Assumptions!$F$170)*(1-Assumptions!$C$127*Assumptions!$F$170)*(1+Assumptions!G$199)*(1+Assumptions!$C$129*Assumptions!$F$171))</f>
        <v>1100.58</v>
      </c>
      <c r="H137" s="65" t="n">
        <f aca="false">IF(H$5="A",Inputs_Actuals!H91,G137*(1+Assumptions!$C$130*Assumptions!$F$171))</f>
        <v>1105.58</v>
      </c>
      <c r="I137" s="65" t="n">
        <f aca="false">IF(I$5="A",Inputs_Actuals!I91,H137*(1+Assumptions!$C$130*Assumptions!$F$171))</f>
        <v>1106.39</v>
      </c>
      <c r="J137" s="65" t="n">
        <f aca="false">IF(J$5="A",Inputs_Actuals!J91,I137*(1+Assumptions!$C$130*Assumptions!$F$171))</f>
        <v>1110.18</v>
      </c>
      <c r="K137" s="65" t="n">
        <f aca="false">IF(K$5="A",Inputs_Actuals!K91,J137*(1+Assumptions!$C$130*Assumptions!$F$171))</f>
        <v>1115.3</v>
      </c>
      <c r="L137" s="65" t="n">
        <f aca="false">IF(L$5="A",Inputs_Actuals!L91,K137*(1+Assumptions!$C$130*Assumptions!$F$171))</f>
        <v>1124.37</v>
      </c>
      <c r="M137" s="65" t="n">
        <f aca="false">IF(M$5="A",Inputs_Actuals!M91,L137*(1+Assumptions!$C$130*Assumptions!$F$171))</f>
        <v>1130.554035</v>
      </c>
      <c r="N137" s="65" t="n">
        <f aca="false">IF(N$5="A",Inputs_Actuals!N91,M137*(1+Assumptions!$C$130*Assumptions!$F$171))</f>
        <v>1136.7720821925</v>
      </c>
      <c r="O137" s="65" t="n">
        <f aca="false">IF(O$5="A",Inputs_Actuals!O91,N137*(1+Assumptions!$C$130*Assumptions!$F$171))</f>
        <v>1143.02432864456</v>
      </c>
      <c r="P137" s="65" t="n">
        <f aca="false">IF(P$5="A",Inputs_Actuals!P91,O137*(1+Assumptions!$C$130*Assumptions!$F$171))</f>
        <v>1149.3109624521</v>
      </c>
      <c r="Q137" s="65" t="n">
        <f aca="false">IF(Q$5="A",Inputs_Actuals!Q91,P137*(1+Assumptions!$C$130*Assumptions!$F$171))</f>
        <v>1155.63217274559</v>
      </c>
      <c r="R137" s="65" t="n">
        <f aca="false">IF(R$5="A",Inputs_Actuals!R91,Q137*(1+Assumptions!$C$130*Assumptions!$F$171))</f>
        <v>1161.98814969569</v>
      </c>
      <c r="S137" s="65" t="n">
        <f aca="false">IF(S$5="A",Inputs_Actuals!S91,R137*(1-Assumptions!$C$123*Assumptions!$F$170)*(1-Assumptions!$C$127*Assumptions!$F$170)*(1+Assumptions!S$199)*(1+Assumptions!$C$129*Assumptions!$F$171))</f>
        <v>1142.47778766823</v>
      </c>
      <c r="T137" s="65" t="n">
        <f aca="false">IF(T$5="A",Inputs_Actuals!T91,S137*(1+Assumptions!$C$130*Assumptions!$F$171))</f>
        <v>1148.7614155004</v>
      </c>
      <c r="U137" s="65" t="n">
        <f aca="false">IF(U$5="A",Inputs_Actuals!U91,T137*(1+Assumptions!$C$130*Assumptions!$F$171))</f>
        <v>1155.07960328565</v>
      </c>
      <c r="V137" s="65" t="n">
        <f aca="false">IF(V$5="A",Inputs_Actuals!V91,U137*(1+Assumptions!$C$130*Assumptions!$F$171))</f>
        <v>1161.43254110373</v>
      </c>
      <c r="W137" s="65" t="n">
        <f aca="false">IF(W$5="A",Inputs_Actuals!W91,V137*(1+Assumptions!$C$130*Assumptions!$F$171))</f>
        <v>1167.8204200798</v>
      </c>
      <c r="X137" s="65" t="n">
        <f aca="false">IF(X$5="A",Inputs_Actuals!X91,W137*(1+Assumptions!$C$130*Assumptions!$F$171))</f>
        <v>1174.24343239023</v>
      </c>
      <c r="Y137" s="65" t="n">
        <f aca="false">IF(Y$5="A",Inputs_Actuals!Y91,X137*(1+Assumptions!$C$130*Assumptions!$F$171))</f>
        <v>1180.70177126838</v>
      </c>
      <c r="Z137" s="65" t="n">
        <f aca="false">IF(Z$5="A",Inputs_Actuals!Z91,Y137*(1+Assumptions!$C$130*Assumptions!$F$171))</f>
        <v>1187.19563101036</v>
      </c>
      <c r="AA137" s="65" t="n">
        <f aca="false">IF(AA$5="A",Inputs_Actuals!AA91,Z137*(1+Assumptions!$C$130*Assumptions!$F$171))</f>
        <v>1193.72520698091</v>
      </c>
      <c r="AB137" s="65" t="n">
        <f aca="false">IF(AB$5="A",Inputs_Actuals!AB91,AA137*(1+Assumptions!$C$130*Assumptions!$F$171))</f>
        <v>1200.29069561931</v>
      </c>
    </row>
    <row r="138" customFormat="false" ht="15" hidden="false" customHeight="false" outlineLevel="0" collapsed="false">
      <c r="A138" s="28" t="s">
        <v>876</v>
      </c>
      <c r="B138" s="63" t="s">
        <v>937</v>
      </c>
      <c r="C138" s="64" t="n">
        <f aca="false">P138</f>
        <v>4851.37878002253</v>
      </c>
      <c r="D138" s="64" t="n">
        <f aca="false">AB138</f>
        <v>5066.57031980469</v>
      </c>
      <c r="E138" s="65" t="n">
        <f aca="false">IF(E$5="A",Inputs_Actuals!E92,History!$E$88*(1+Assumptions!$C$130*Assumptions!$F$171))</f>
        <v>4194.26</v>
      </c>
      <c r="F138" s="65" t="n">
        <f aca="false">IF(F$5="A",Inputs_Actuals!F92,E138*(1+Assumptions!$C$130*Assumptions!$F$171))</f>
        <v>4219.98</v>
      </c>
      <c r="G138" s="65" t="n">
        <f aca="false">IF(G$5="A",Inputs_Actuals!G92,F138*(1+Assumptions!$C$130*Assumptions!$F$171))</f>
        <v>4260.54</v>
      </c>
      <c r="H138" s="65" t="n">
        <f aca="false">IF(H$5="A",Inputs_Actuals!H92,G138*(1-Assumptions!$C$123*Assumptions!$F$170)*(1-Assumptions!$C$127*Assumptions!$F$170)*(1+Assumptions!H$199)*(1+Assumptions!$C$129*Assumptions!$F$171))</f>
        <v>4657.5</v>
      </c>
      <c r="I138" s="65" t="n">
        <f aca="false">IF(I$5="A",Inputs_Actuals!I92,H138*(1+Assumptions!$C$130*Assumptions!$F$171))</f>
        <v>4694.43</v>
      </c>
      <c r="J138" s="65" t="n">
        <f aca="false">IF(J$5="A",Inputs_Actuals!J92,I138*(1+Assumptions!$C$130*Assumptions!$F$171))</f>
        <v>4694.43</v>
      </c>
      <c r="K138" s="65" t="n">
        <f aca="false">IF(K$5="A",Inputs_Actuals!K92,J138*(1+Assumptions!$C$130*Assumptions!$F$171))</f>
        <v>4714.34</v>
      </c>
      <c r="L138" s="65" t="n">
        <f aca="false">IF(L$5="A",Inputs_Actuals!L92,K138*(1+Assumptions!$C$130*Assumptions!$F$171))</f>
        <v>4746.1</v>
      </c>
      <c r="M138" s="65" t="n">
        <f aca="false">IF(M$5="A",Inputs_Actuals!M92,L138*(1+Assumptions!$C$130*Assumptions!$F$171))</f>
        <v>4772.20355</v>
      </c>
      <c r="N138" s="65" t="n">
        <f aca="false">IF(N$5="A",Inputs_Actuals!N92,M138*(1+Assumptions!$C$130*Assumptions!$F$171))</f>
        <v>4798.450669525</v>
      </c>
      <c r="O138" s="65" t="n">
        <f aca="false">IF(O$5="A",Inputs_Actuals!O92,N138*(1+Assumptions!$C$130*Assumptions!$F$171))</f>
        <v>4824.84214820739</v>
      </c>
      <c r="P138" s="65" t="n">
        <f aca="false">IF(P$5="A",Inputs_Actuals!P92,O138*(1+Assumptions!$C$130*Assumptions!$F$171))</f>
        <v>4851.37878002253</v>
      </c>
      <c r="Q138" s="65" t="n">
        <f aca="false">IF(Q$5="A",Inputs_Actuals!Q92,P138*(1+Assumptions!$C$130*Assumptions!$F$171))</f>
        <v>4878.06136331265</v>
      </c>
      <c r="R138" s="65" t="n">
        <f aca="false">IF(R$5="A",Inputs_Actuals!R92,Q138*(1+Assumptions!$C$130*Assumptions!$F$171))</f>
        <v>4904.89070081087</v>
      </c>
      <c r="S138" s="65" t="n">
        <f aca="false">IF(S$5="A",Inputs_Actuals!S92,R138*(1+Assumptions!$C$130*Assumptions!$F$171))</f>
        <v>4931.86759966533</v>
      </c>
      <c r="T138" s="65" t="n">
        <f aca="false">IF(T$5="A",Inputs_Actuals!T92,S138*(1-Assumptions!$C$123*Assumptions!$F$170)*(1-Assumptions!$C$127*Assumptions!$F$170)*(1+Assumptions!T$199)*(1+Assumptions!$C$129*Assumptions!$F$171))</f>
        <v>4849.05907673315</v>
      </c>
      <c r="U138" s="65" t="n">
        <f aca="false">IF(U$5="A",Inputs_Actuals!U92,T138*(1+Assumptions!$C$130*Assumptions!$F$171))</f>
        <v>4875.72890165519</v>
      </c>
      <c r="V138" s="65" t="n">
        <f aca="false">IF(V$5="A",Inputs_Actuals!V92,U138*(1+Assumptions!$C$130*Assumptions!$F$171))</f>
        <v>4902.54541061429</v>
      </c>
      <c r="W138" s="65" t="n">
        <f aca="false">IF(W$5="A",Inputs_Actuals!W92,V138*(1+Assumptions!$C$130*Assumptions!$F$171))</f>
        <v>4929.50941037267</v>
      </c>
      <c r="X138" s="65" t="n">
        <f aca="false">IF(X$5="A",Inputs_Actuals!X92,W138*(1+Assumptions!$C$130*Assumptions!$F$171))</f>
        <v>4956.62171212972</v>
      </c>
      <c r="Y138" s="65" t="n">
        <f aca="false">IF(Y$5="A",Inputs_Actuals!Y92,X138*(1+Assumptions!$C$130*Assumptions!$F$171))</f>
        <v>4983.88313154643</v>
      </c>
      <c r="Z138" s="65" t="n">
        <f aca="false">IF(Z$5="A",Inputs_Actuals!Z92,Y138*(1+Assumptions!$C$130*Assumptions!$F$171))</f>
        <v>5011.29448876994</v>
      </c>
      <c r="AA138" s="65" t="n">
        <f aca="false">IF(AA$5="A",Inputs_Actuals!AA92,Z138*(1+Assumptions!$C$130*Assumptions!$F$171))</f>
        <v>5038.85660845817</v>
      </c>
      <c r="AB138" s="65" t="n">
        <f aca="false">IF(AB$5="A",Inputs_Actuals!AB92,AA138*(1+Assumptions!$C$130*Assumptions!$F$171))</f>
        <v>5066.57031980469</v>
      </c>
    </row>
    <row r="139" customFormat="false" ht="15" hidden="false" customHeight="false" outlineLevel="0" collapsed="false">
      <c r="A139" s="28" t="s">
        <v>877</v>
      </c>
      <c r="B139" s="63" t="s">
        <v>937</v>
      </c>
      <c r="C139" s="64" t="n">
        <f aca="false">P139</f>
        <v>2169.94963379588</v>
      </c>
      <c r="D139" s="64" t="n">
        <f aca="false">AB139</f>
        <v>2266.20161166022</v>
      </c>
      <c r="E139" s="65" t="n">
        <f aca="false">IF(E$5="A",Inputs_Actuals!E93,History!$E$89*(1+Assumptions!$C$130*Assumptions!$F$171))</f>
        <v>2646.84</v>
      </c>
      <c r="F139" s="65" t="n">
        <f aca="false">IF(F$5="A",Inputs_Actuals!F93,E139*(1+Assumptions!$C$130*Assumptions!$F$171))</f>
        <v>2665.22</v>
      </c>
      <c r="G139" s="65" t="n">
        <f aca="false">IF(G$5="A",Inputs_Actuals!G93,F139*(1+Assumptions!$C$130*Assumptions!$F$171))</f>
        <v>2689.01</v>
      </c>
      <c r="H139" s="65" t="n">
        <f aca="false">IF(H$5="A",Inputs_Actuals!H93,G139*(1+Assumptions!$C$130*Assumptions!$F$171))</f>
        <v>2707.91</v>
      </c>
      <c r="I139" s="65" t="n">
        <f aca="false">IF(I$5="A",Inputs_Actuals!I93,H139*(1-Assumptions!$C$123*Assumptions!$F$170)*(1-Assumptions!$C$127*Assumptions!$F$170)*(1+Assumptions!I$199)*(1+Assumptions!$C$129*Assumptions!$F$171))</f>
        <v>2080.45</v>
      </c>
      <c r="J139" s="65" t="n">
        <f aca="false">IF(J$5="A",Inputs_Actuals!J93,I139*(1+Assumptions!$C$130*Assumptions!$F$171))</f>
        <v>2094.03</v>
      </c>
      <c r="K139" s="65" t="n">
        <f aca="false">IF(K$5="A",Inputs_Actuals!K93,J139*(1+Assumptions!$C$130*Assumptions!$F$171))</f>
        <v>2107.13</v>
      </c>
      <c r="L139" s="65" t="n">
        <f aca="false">IF(L$5="A",Inputs_Actuals!L93,K139*(1+Assumptions!$C$130*Assumptions!$F$171))</f>
        <v>2122.86</v>
      </c>
      <c r="M139" s="65" t="n">
        <f aca="false">IF(M$5="A",Inputs_Actuals!M93,L139*(1+Assumptions!$C$130*Assumptions!$F$171))</f>
        <v>2134.53573</v>
      </c>
      <c r="N139" s="65" t="n">
        <f aca="false">IF(N$5="A",Inputs_Actuals!N93,M139*(1+Assumptions!$C$130*Assumptions!$F$171))</f>
        <v>2146.275676515</v>
      </c>
      <c r="O139" s="65" t="n">
        <f aca="false">IF(O$5="A",Inputs_Actuals!O93,N139*(1+Assumptions!$C$130*Assumptions!$F$171))</f>
        <v>2158.08019273583</v>
      </c>
      <c r="P139" s="65" t="n">
        <f aca="false">IF(P$5="A",Inputs_Actuals!P93,O139*(1+Assumptions!$C$130*Assumptions!$F$171))</f>
        <v>2169.94963379588</v>
      </c>
      <c r="Q139" s="65" t="n">
        <f aca="false">IF(Q$5="A",Inputs_Actuals!Q93,P139*(1+Assumptions!$C$130*Assumptions!$F$171))</f>
        <v>2181.88435678176</v>
      </c>
      <c r="R139" s="65" t="n">
        <f aca="false">IF(R$5="A",Inputs_Actuals!R93,Q139*(1+Assumptions!$C$130*Assumptions!$F$171))</f>
        <v>2193.88472074406</v>
      </c>
      <c r="S139" s="65" t="n">
        <f aca="false">IF(S$5="A",Inputs_Actuals!S93,R139*(1+Assumptions!$C$130*Assumptions!$F$171))</f>
        <v>2205.95108670815</v>
      </c>
      <c r="T139" s="65" t="n">
        <f aca="false">IF(T$5="A",Inputs_Actuals!T93,S139*(1+Assumptions!$C$130*Assumptions!$F$171))</f>
        <v>2218.08381768505</v>
      </c>
      <c r="U139" s="65" t="n">
        <f aca="false">IF(U$5="A",Inputs_Actuals!U93,T139*(1-Assumptions!$C$123*Assumptions!$F$170)*(1-Assumptions!$C$127*Assumptions!$F$170)*(1+Assumptions!U$199)*(1+Assumptions!$C$129*Assumptions!$F$171))</f>
        <v>2180.8410813442</v>
      </c>
      <c r="V139" s="65" t="n">
        <f aca="false">IF(V$5="A",Inputs_Actuals!V93,U139*(1+Assumptions!$C$130*Assumptions!$F$171))</f>
        <v>2192.8357072916</v>
      </c>
      <c r="W139" s="65" t="n">
        <f aca="false">IF(W$5="A",Inputs_Actuals!W93,V139*(1+Assumptions!$C$130*Assumptions!$F$171))</f>
        <v>2204.8963036817</v>
      </c>
      <c r="X139" s="65" t="n">
        <f aca="false">IF(X$5="A",Inputs_Actuals!X93,W139*(1+Assumptions!$C$130*Assumptions!$F$171))</f>
        <v>2217.02323335195</v>
      </c>
      <c r="Y139" s="65" t="n">
        <f aca="false">IF(Y$5="A",Inputs_Actuals!Y93,X139*(1+Assumptions!$C$130*Assumptions!$F$171))</f>
        <v>2229.21686113539</v>
      </c>
      <c r="Z139" s="65" t="n">
        <f aca="false">IF(Z$5="A",Inputs_Actuals!Z93,Y139*(1+Assumptions!$C$130*Assumptions!$F$171))</f>
        <v>2241.47755387163</v>
      </c>
      <c r="AA139" s="65" t="n">
        <f aca="false">IF(AA$5="A",Inputs_Actuals!AA93,Z139*(1+Assumptions!$C$130*Assumptions!$F$171))</f>
        <v>2253.80568041793</v>
      </c>
      <c r="AB139" s="65" t="n">
        <f aca="false">IF(AB$5="A",Inputs_Actuals!AB93,AA139*(1+Assumptions!$C$130*Assumptions!$F$171))</f>
        <v>2266.20161166022</v>
      </c>
    </row>
    <row r="140" customFormat="false" ht="15" hidden="false" customHeight="false" outlineLevel="0" collapsed="false">
      <c r="A140" s="28" t="s">
        <v>878</v>
      </c>
      <c r="B140" s="63" t="s">
        <v>937</v>
      </c>
      <c r="C140" s="64" t="n">
        <f aca="false">P140</f>
        <v>3467.82455231475</v>
      </c>
      <c r="D140" s="64" t="n">
        <f aca="false">AB140</f>
        <v>3621.64608201677</v>
      </c>
      <c r="E140" s="65" t="n">
        <f aca="false">IF(E$5="A",Inputs_Actuals!E94,History!$E$90*(1+Assumptions!$C$130*Assumptions!$F$171))</f>
        <v>3989.55</v>
      </c>
      <c r="F140" s="65" t="n">
        <f aca="false">IF(F$5="A",Inputs_Actuals!F94,E140*(1+Assumptions!$C$130*Assumptions!$F$171))</f>
        <v>4025.38</v>
      </c>
      <c r="G140" s="65" t="n">
        <f aca="false">IF(G$5="A",Inputs_Actuals!G94,F140*(1+Assumptions!$C$130*Assumptions!$F$171))</f>
        <v>4062.33</v>
      </c>
      <c r="H140" s="65" t="n">
        <f aca="false">IF(H$5="A",Inputs_Actuals!H94,G140*(1+Assumptions!$C$130*Assumptions!$F$171))</f>
        <v>4087.86</v>
      </c>
      <c r="I140" s="65" t="n">
        <f aca="false">IF(I$5="A",Inputs_Actuals!I94,H140*(1+Assumptions!$C$130*Assumptions!$F$171))</f>
        <v>4094.66</v>
      </c>
      <c r="J140" s="65" t="n">
        <f aca="false">IF(J$5="A",Inputs_Actuals!J94,I140*(1-Assumptions!$C$123*Assumptions!$F$170)*(1-Assumptions!$C$127*Assumptions!$F$170)*(1+Assumptions!J$199)*(1+Assumptions!$C$129*Assumptions!$F$171))</f>
        <v>3367.59</v>
      </c>
      <c r="K140" s="65" t="n">
        <f aca="false">IF(K$5="A",Inputs_Actuals!K94,J140*(1+Assumptions!$C$130*Assumptions!$F$171))</f>
        <v>3384.66</v>
      </c>
      <c r="L140" s="65" t="n">
        <f aca="false">IF(L$5="A",Inputs_Actuals!L94,K140*(1+Assumptions!$C$130*Assumptions!$F$171))</f>
        <v>3392.57</v>
      </c>
      <c r="M140" s="65" t="n">
        <f aca="false">IF(M$5="A",Inputs_Actuals!M94,L140*(1+Assumptions!$C$130*Assumptions!$F$171))</f>
        <v>3411.229135</v>
      </c>
      <c r="N140" s="65" t="n">
        <f aca="false">IF(N$5="A",Inputs_Actuals!N94,M140*(1+Assumptions!$C$130*Assumptions!$F$171))</f>
        <v>3429.9908952425</v>
      </c>
      <c r="O140" s="65" t="n">
        <f aca="false">IF(O$5="A",Inputs_Actuals!O94,N140*(1+Assumptions!$C$130*Assumptions!$F$171))</f>
        <v>3448.85584516634</v>
      </c>
      <c r="P140" s="65" t="n">
        <f aca="false">IF(P$5="A",Inputs_Actuals!P94,O140*(1+Assumptions!$C$130*Assumptions!$F$171))</f>
        <v>3467.82455231475</v>
      </c>
      <c r="Q140" s="65" t="n">
        <f aca="false">IF(Q$5="A",Inputs_Actuals!Q94,P140*(1+Assumptions!$C$130*Assumptions!$F$171))</f>
        <v>3486.89758735248</v>
      </c>
      <c r="R140" s="65" t="n">
        <f aca="false">IF(R$5="A",Inputs_Actuals!R94,Q140*(1+Assumptions!$C$130*Assumptions!$F$171))</f>
        <v>3506.07552408292</v>
      </c>
      <c r="S140" s="65" t="n">
        <f aca="false">IF(S$5="A",Inputs_Actuals!S94,R140*(1+Assumptions!$C$130*Assumptions!$F$171))</f>
        <v>3525.35893946538</v>
      </c>
      <c r="T140" s="65" t="n">
        <f aca="false">IF(T$5="A",Inputs_Actuals!T94,S140*(1+Assumptions!$C$130*Assumptions!$F$171))</f>
        <v>3544.74841363244</v>
      </c>
      <c r="U140" s="65" t="n">
        <f aca="false">IF(U$5="A",Inputs_Actuals!U94,T140*(1+Assumptions!$C$130*Assumptions!$F$171))</f>
        <v>3564.24452990741</v>
      </c>
      <c r="V140" s="65" t="n">
        <f aca="false">IF(V$5="A",Inputs_Actuals!V94,U140*(1-Assumptions!$C$123*Assumptions!$F$170)*(1-Assumptions!$C$127*Assumptions!$F$170)*(1+Assumptions!V$199)*(1+Assumptions!$C$129*Assumptions!$F$171))</f>
        <v>3504.399082128</v>
      </c>
      <c r="W140" s="65" t="n">
        <f aca="false">IF(W$5="A",Inputs_Actuals!W94,V140*(1+Assumptions!$C$130*Assumptions!$F$171))</f>
        <v>3523.67327707971</v>
      </c>
      <c r="X140" s="65" t="n">
        <f aca="false">IF(X$5="A",Inputs_Actuals!X94,W140*(1+Assumptions!$C$130*Assumptions!$F$171))</f>
        <v>3543.05348010365</v>
      </c>
      <c r="Y140" s="65" t="n">
        <f aca="false">IF(Y$5="A",Inputs_Actuals!Y94,X140*(1+Assumptions!$C$130*Assumptions!$F$171))</f>
        <v>3562.54027424422</v>
      </c>
      <c r="Z140" s="65" t="n">
        <f aca="false">IF(Z$5="A",Inputs_Actuals!Z94,Y140*(1+Assumptions!$C$130*Assumptions!$F$171))</f>
        <v>3582.13424575256</v>
      </c>
      <c r="AA140" s="65" t="n">
        <f aca="false">IF(AA$5="A",Inputs_Actuals!AA94,Z140*(1+Assumptions!$C$130*Assumptions!$F$171))</f>
        <v>3601.8359841042</v>
      </c>
      <c r="AB140" s="65" t="n">
        <f aca="false">IF(AB$5="A",Inputs_Actuals!AB94,AA140*(1+Assumptions!$C$130*Assumptions!$F$171))</f>
        <v>3621.64608201677</v>
      </c>
    </row>
    <row r="141" customFormat="false" ht="15" hidden="false" customHeight="false" outlineLevel="0" collapsed="false">
      <c r="A141" s="28" t="s">
        <v>879</v>
      </c>
      <c r="B141" s="63" t="s">
        <v>937</v>
      </c>
      <c r="C141" s="64" t="n">
        <f aca="false">P141</f>
        <v>5652.58560570198</v>
      </c>
      <c r="D141" s="64" t="n">
        <f aca="false">AB141</f>
        <v>5903.3161001442</v>
      </c>
      <c r="E141" s="65" t="n">
        <f aca="false">IF(E$5="A",Inputs_Actuals!E95,History!$E$91*(1+Assumptions!$C$130*Assumptions!$F$171))</f>
        <v>6019.7</v>
      </c>
      <c r="F141" s="65" t="n">
        <f aca="false">IF(F$5="A",Inputs_Actuals!F95,E141*(1+Assumptions!$C$130*Assumptions!$F$171))</f>
        <v>6057.92</v>
      </c>
      <c r="G141" s="65" t="n">
        <f aca="false">IF(G$5="A",Inputs_Actuals!G95,F141*(1+Assumptions!$C$130*Assumptions!$F$171))</f>
        <v>6100.04</v>
      </c>
      <c r="H141" s="65" t="n">
        <f aca="false">IF(H$5="A",Inputs_Actuals!H95,G141*(1+Assumptions!$C$130*Assumptions!$F$171))</f>
        <v>6128.2</v>
      </c>
      <c r="I141" s="65" t="n">
        <f aca="false">IF(I$5="A",Inputs_Actuals!I95,H141*(1+Assumptions!$C$130*Assumptions!$F$171))</f>
        <v>6150.98</v>
      </c>
      <c r="J141" s="65" t="n">
        <f aca="false">IF(J$5="A",Inputs_Actuals!J95,I141*(1+Assumptions!$C$130*Assumptions!$F$171))</f>
        <v>6191.92</v>
      </c>
      <c r="K141" s="65" t="n">
        <f aca="false">IF(K$5="A",Inputs_Actuals!K95,J141*(1-Assumptions!$C$123*Assumptions!$F$170)*(1-Assumptions!$C$127*Assumptions!$F$170)*(1+Assumptions!K$199)*(1+Assumptions!$C$129*Assumptions!$F$171))</f>
        <v>5502.65</v>
      </c>
      <c r="L141" s="65" t="n">
        <f aca="false">IF(L$5="A",Inputs_Actuals!L95,K141*(1+Assumptions!$C$130*Assumptions!$F$171))</f>
        <v>5529.92</v>
      </c>
      <c r="M141" s="65" t="n">
        <f aca="false">IF(M$5="A",Inputs_Actuals!M95,L141*(1+Assumptions!$C$130*Assumptions!$F$171))</f>
        <v>5560.33456</v>
      </c>
      <c r="N141" s="65" t="n">
        <f aca="false">IF(N$5="A",Inputs_Actuals!N95,M141*(1+Assumptions!$C$130*Assumptions!$F$171))</f>
        <v>5590.91640008</v>
      </c>
      <c r="O141" s="65" t="n">
        <f aca="false">IF(O$5="A",Inputs_Actuals!O95,N141*(1+Assumptions!$C$130*Assumptions!$F$171))</f>
        <v>5621.66644028044</v>
      </c>
      <c r="P141" s="65" t="n">
        <f aca="false">IF(P$5="A",Inputs_Actuals!P95,O141*(1+Assumptions!$C$130*Assumptions!$F$171))</f>
        <v>5652.58560570198</v>
      </c>
      <c r="Q141" s="65" t="n">
        <f aca="false">IF(Q$5="A",Inputs_Actuals!Q95,P141*(1+Assumptions!$C$130*Assumptions!$F$171))</f>
        <v>5683.67482653335</v>
      </c>
      <c r="R141" s="65" t="n">
        <f aca="false">IF(R$5="A",Inputs_Actuals!R95,Q141*(1+Assumptions!$C$130*Assumptions!$F$171))</f>
        <v>5714.93503807928</v>
      </c>
      <c r="S141" s="65" t="n">
        <f aca="false">IF(S$5="A",Inputs_Actuals!S95,R141*(1+Assumptions!$C$130*Assumptions!$F$171))</f>
        <v>5746.36718078872</v>
      </c>
      <c r="T141" s="65" t="n">
        <f aca="false">IF(T$5="A",Inputs_Actuals!T95,S141*(1+Assumptions!$C$130*Assumptions!$F$171))</f>
        <v>5777.97220028305</v>
      </c>
      <c r="U141" s="65" t="n">
        <f aca="false">IF(U$5="A",Inputs_Actuals!U95,T141*(1+Assumptions!$C$130*Assumptions!$F$171))</f>
        <v>5809.75104738461</v>
      </c>
      <c r="V141" s="65" t="n">
        <f aca="false">IF(V$5="A",Inputs_Actuals!V95,U141*(1+Assumptions!$C$130*Assumptions!$F$171))</f>
        <v>5841.70467814523</v>
      </c>
      <c r="W141" s="65" t="n">
        <f aca="false">IF(W$5="A",Inputs_Actuals!W95,V141*(1-Assumptions!$C$123*Assumptions!$F$170)*(1-Assumptions!$C$127*Assumptions!$F$170)*(1+Assumptions!W$199)*(1+Assumptions!$C$129*Assumptions!$F$171))</f>
        <v>5743.61953574683</v>
      </c>
      <c r="X141" s="65" t="n">
        <f aca="false">IF(X$5="A",Inputs_Actuals!X95,W141*(1+Assumptions!$C$130*Assumptions!$F$171))</f>
        <v>5775.20944319344</v>
      </c>
      <c r="Y141" s="65" t="n">
        <f aca="false">IF(Y$5="A",Inputs_Actuals!Y95,X141*(1+Assumptions!$C$130*Assumptions!$F$171))</f>
        <v>5806.973095131</v>
      </c>
      <c r="Z141" s="65" t="n">
        <f aca="false">IF(Z$5="A",Inputs_Actuals!Z95,Y141*(1+Assumptions!$C$130*Assumptions!$F$171))</f>
        <v>5838.91144715422</v>
      </c>
      <c r="AA141" s="65" t="n">
        <f aca="false">IF(AA$5="A",Inputs_Actuals!AA95,Z141*(1+Assumptions!$C$130*Assumptions!$F$171))</f>
        <v>5871.02546011357</v>
      </c>
      <c r="AB141" s="65" t="n">
        <f aca="false">IF(AB$5="A",Inputs_Actuals!AB95,AA141*(1+Assumptions!$C$130*Assumptions!$F$171))</f>
        <v>5903.3161001442</v>
      </c>
    </row>
    <row r="142" customFormat="false" ht="15" hidden="false" customHeight="false" outlineLevel="0" collapsed="false">
      <c r="A142" s="28" t="s">
        <v>880</v>
      </c>
      <c r="B142" s="63" t="s">
        <v>937</v>
      </c>
      <c r="C142" s="64" t="n">
        <f aca="false">P142</f>
        <v>1469.94906441318</v>
      </c>
      <c r="D142" s="64" t="n">
        <f aca="false">AB142</f>
        <v>1535.1512712322</v>
      </c>
      <c r="E142" s="65" t="n">
        <f aca="false">IF(E$5="A",Inputs_Actuals!E96,History!$E$92*(1+Assumptions!$C$130*Assumptions!$F$171))</f>
        <v>1297</v>
      </c>
      <c r="F142" s="65" t="n">
        <f aca="false">IF(F$5="A",Inputs_Actuals!F96,E142*(1+Assumptions!$C$130*Assumptions!$F$171))</f>
        <v>1297</v>
      </c>
      <c r="G142" s="65" t="n">
        <f aca="false">IF(G$5="A",Inputs_Actuals!G96,F142*(1+Assumptions!$C$130*Assumptions!$F$171))</f>
        <v>1300.16</v>
      </c>
      <c r="H142" s="65" t="n">
        <f aca="false">IF(H$5="A",Inputs_Actuals!H96,G142*(1+Assumptions!$C$130*Assumptions!$F$171))</f>
        <v>1308.85</v>
      </c>
      <c r="I142" s="65" t="n">
        <f aca="false">IF(I$5="A",Inputs_Actuals!I96,H142*(1+Assumptions!$C$130*Assumptions!$F$171))</f>
        <v>1317.2</v>
      </c>
      <c r="J142" s="65" t="n">
        <f aca="false">IF(J$5="A",Inputs_Actuals!J96,I142*(1+Assumptions!$C$130*Assumptions!$F$171))</f>
        <v>1324.16</v>
      </c>
      <c r="K142" s="65" t="n">
        <f aca="false">IF(K$5="A",Inputs_Actuals!K96,J142*(1+Assumptions!$C$130*Assumptions!$F$171))</f>
        <v>1331.81</v>
      </c>
      <c r="L142" s="65" t="n">
        <f aca="false">IF(L$5="A",Inputs_Actuals!L96,K142*(1-Assumptions!$C$123*Assumptions!$F$170)*(1-Assumptions!$C$127*Assumptions!$F$170)*(1+Assumptions!L$199)*(1+Assumptions!$C$129*Assumptions!$F$171))</f>
        <v>1438.05</v>
      </c>
      <c r="M142" s="65" t="n">
        <f aca="false">IF(M$5="A",Inputs_Actuals!M96,L142*(1+Assumptions!$C$130*Assumptions!$F$171))</f>
        <v>1445.959275</v>
      </c>
      <c r="N142" s="65" t="n">
        <f aca="false">IF(N$5="A",Inputs_Actuals!N96,M142*(1+Assumptions!$C$130*Assumptions!$F$171))</f>
        <v>1453.9120510125</v>
      </c>
      <c r="O142" s="65" t="n">
        <f aca="false">IF(O$5="A",Inputs_Actuals!O96,N142*(1+Assumptions!$C$130*Assumptions!$F$171))</f>
        <v>1461.90856729307</v>
      </c>
      <c r="P142" s="65" t="n">
        <f aca="false">IF(P$5="A",Inputs_Actuals!P96,O142*(1+Assumptions!$C$130*Assumptions!$F$171))</f>
        <v>1469.94906441318</v>
      </c>
      <c r="Q142" s="65" t="n">
        <f aca="false">IF(Q$5="A",Inputs_Actuals!Q96,P142*(1+Assumptions!$C$130*Assumptions!$F$171))</f>
        <v>1478.03378426745</v>
      </c>
      <c r="R142" s="65" t="n">
        <f aca="false">IF(R$5="A",Inputs_Actuals!R96,Q142*(1+Assumptions!$C$130*Assumptions!$F$171))</f>
        <v>1486.16297008092</v>
      </c>
      <c r="S142" s="65" t="n">
        <f aca="false">IF(S$5="A",Inputs_Actuals!S96,R142*(1+Assumptions!$C$130*Assumptions!$F$171))</f>
        <v>1494.33686641637</v>
      </c>
      <c r="T142" s="65" t="n">
        <f aca="false">IF(T$5="A",Inputs_Actuals!T96,S142*(1+Assumptions!$C$130*Assumptions!$F$171))</f>
        <v>1502.55571918166</v>
      </c>
      <c r="U142" s="65" t="n">
        <f aca="false">IF(U$5="A",Inputs_Actuals!U96,T142*(1+Assumptions!$C$130*Assumptions!$F$171))</f>
        <v>1510.81977563716</v>
      </c>
      <c r="V142" s="65" t="n">
        <f aca="false">IF(V$5="A",Inputs_Actuals!V96,U142*(1+Assumptions!$C$130*Assumptions!$F$171))</f>
        <v>1519.12928440316</v>
      </c>
      <c r="W142" s="65" t="n">
        <f aca="false">IF(W$5="A",Inputs_Actuals!W96,V142*(1+Assumptions!$C$130*Assumptions!$F$171))</f>
        <v>1527.48449546738</v>
      </c>
      <c r="X142" s="65" t="n">
        <f aca="false">IF(X$5="A",Inputs_Actuals!X96,W142*(1-Assumptions!$C$123*Assumptions!$F$170)*(1-Assumptions!$C$127*Assumptions!$F$170)*(1+Assumptions!X$199)*(1+Assumptions!$C$129*Assumptions!$F$171))</f>
        <v>1501.83726704624</v>
      </c>
      <c r="Y142" s="65" t="n">
        <f aca="false">IF(Y$5="A",Inputs_Actuals!Y96,X142*(1+Assumptions!$C$130*Assumptions!$F$171))</f>
        <v>1510.09737201499</v>
      </c>
      <c r="Z142" s="65" t="n">
        <f aca="false">IF(Z$5="A",Inputs_Actuals!Z96,Y142*(1+Assumptions!$C$130*Assumptions!$F$171))</f>
        <v>1518.40290756107</v>
      </c>
      <c r="AA142" s="65" t="n">
        <f aca="false">IF(AA$5="A",Inputs_Actuals!AA96,Z142*(1+Assumptions!$C$130*Assumptions!$F$171))</f>
        <v>1526.75412355266</v>
      </c>
      <c r="AB142" s="65" t="n">
        <f aca="false">IF(AB$5="A",Inputs_Actuals!AB96,AA142*(1+Assumptions!$C$130*Assumptions!$F$171))</f>
        <v>1535.1512712322</v>
      </c>
    </row>
    <row r="143" customFormat="false" ht="15" hidden="false" customHeight="false" outlineLevel="0" collapsed="false">
      <c r="A143" s="28" t="s">
        <v>881</v>
      </c>
      <c r="B143" s="63" t="s">
        <v>937</v>
      </c>
      <c r="C143" s="64" t="n">
        <f aca="false">P143</f>
        <v>6301.89528580649</v>
      </c>
      <c r="D143" s="64" t="n">
        <f aca="false">AB143</f>
        <v>6581.42706668557</v>
      </c>
      <c r="E143" s="65" t="n">
        <f aca="false">IF(E$5="A",Inputs_Actuals!E97,History!$E$93*(1+Assumptions!$C$130*Assumptions!$F$171))</f>
        <v>6177.17</v>
      </c>
      <c r="F143" s="65" t="n">
        <f aca="false">IF(F$5="A",Inputs_Actuals!F97,E143*(1+Assumptions!$C$130*Assumptions!$F$171))</f>
        <v>6207.17</v>
      </c>
      <c r="G143" s="65" t="n">
        <f aca="false">IF(G$5="A",Inputs_Actuals!G97,F143*(1+Assumptions!$C$130*Assumptions!$F$171))</f>
        <v>6225.51</v>
      </c>
      <c r="H143" s="65" t="n">
        <f aca="false">IF(H$5="A",Inputs_Actuals!H97,G143*(1+Assumptions!$C$130*Assumptions!$F$171))</f>
        <v>6253.05</v>
      </c>
      <c r="I143" s="65" t="n">
        <f aca="false">IF(I$5="A",Inputs_Actuals!I97,H143*(1+Assumptions!$C$130*Assumptions!$F$171))</f>
        <v>6253.05</v>
      </c>
      <c r="J143" s="65" t="n">
        <f aca="false">IF(J$5="A",Inputs_Actuals!J97,I143*(1+Assumptions!$C$130*Assumptions!$F$171))</f>
        <v>6284.96</v>
      </c>
      <c r="K143" s="65" t="n">
        <f aca="false">IF(K$5="A",Inputs_Actuals!K97,J143*(1+Assumptions!$C$130*Assumptions!$F$171))</f>
        <v>6284.96</v>
      </c>
      <c r="L143" s="65" t="n">
        <f aca="false">IF(L$5="A",Inputs_Actuals!L97,K143*(1+Assumptions!$C$130*Assumptions!$F$171))</f>
        <v>6304.91</v>
      </c>
      <c r="M143" s="65" t="n">
        <f aca="false">IF(M$5="A",Inputs_Actuals!M97,L143*(1-Assumptions!$C$123*Assumptions!$F$170)*(1-Assumptions!$C$127*Assumptions!$F$170)*(1+Assumptions!M$199)*(1+Assumptions!$C$129*Assumptions!$F$171))</f>
        <v>6199.047408645</v>
      </c>
      <c r="N143" s="65" t="n">
        <f aca="false">IF(N$5="A",Inputs_Actuals!N97,M143*(1+Assumptions!$C$130*Assumptions!$F$171))</f>
        <v>6233.14216939255</v>
      </c>
      <c r="O143" s="65" t="n">
        <f aca="false">IF(O$5="A",Inputs_Actuals!O97,N143*(1+Assumptions!$C$130*Assumptions!$F$171))</f>
        <v>6267.42445132421</v>
      </c>
      <c r="P143" s="65" t="n">
        <f aca="false">IF(P$5="A",Inputs_Actuals!P97,O143*(1+Assumptions!$C$130*Assumptions!$F$171))</f>
        <v>6301.89528580649</v>
      </c>
      <c r="Q143" s="65" t="n">
        <f aca="false">IF(Q$5="A",Inputs_Actuals!Q97,P143*(1+Assumptions!$C$130*Assumptions!$F$171))</f>
        <v>6336.55570987843</v>
      </c>
      <c r="R143" s="65" t="n">
        <f aca="false">IF(R$5="A",Inputs_Actuals!R97,Q143*(1+Assumptions!$C$130*Assumptions!$F$171))</f>
        <v>6371.40676628276</v>
      </c>
      <c r="S143" s="65" t="n">
        <f aca="false">IF(S$5="A",Inputs_Actuals!S97,R143*(1+Assumptions!$C$130*Assumptions!$F$171))</f>
        <v>6406.44950349732</v>
      </c>
      <c r="T143" s="65" t="n">
        <f aca="false">IF(T$5="A",Inputs_Actuals!T97,S143*(1+Assumptions!$C$130*Assumptions!$F$171))</f>
        <v>6441.68497576655</v>
      </c>
      <c r="U143" s="65" t="n">
        <f aca="false">IF(U$5="A",Inputs_Actuals!U97,T143*(1+Assumptions!$C$130*Assumptions!$F$171))</f>
        <v>6477.11424313327</v>
      </c>
      <c r="V143" s="65" t="n">
        <f aca="false">IF(V$5="A",Inputs_Actuals!V97,U143*(1+Assumptions!$C$130*Assumptions!$F$171))</f>
        <v>6512.7383714705</v>
      </c>
      <c r="W143" s="65" t="n">
        <f aca="false">IF(W$5="A",Inputs_Actuals!W97,V143*(1+Assumptions!$C$130*Assumptions!$F$171))</f>
        <v>6548.55843251359</v>
      </c>
      <c r="X143" s="65" t="n">
        <f aca="false">IF(X$5="A",Inputs_Actuals!X97,W143*(1+Assumptions!$C$130*Assumptions!$F$171))</f>
        <v>6584.57550389241</v>
      </c>
      <c r="Y143" s="65" t="n">
        <f aca="false">IF(Y$5="A",Inputs_Actuals!Y97,X143*(1-Assumptions!$C$123*Assumptions!$F$170)*(1-Assumptions!$C$127*Assumptions!$F$170)*(1+Assumptions!Y$199)*(1+Assumptions!$C$129*Assumptions!$F$171))</f>
        <v>6474.01718889431</v>
      </c>
      <c r="Z143" s="65" t="n">
        <f aca="false">IF(Z$5="A",Inputs_Actuals!Z97,Y143*(1+Assumptions!$C$130*Assumptions!$F$171))</f>
        <v>6509.62428343323</v>
      </c>
      <c r="AA143" s="65" t="n">
        <f aca="false">IF(AA$5="A",Inputs_Actuals!AA97,Z143*(1+Assumptions!$C$130*Assumptions!$F$171))</f>
        <v>6545.42721699211</v>
      </c>
      <c r="AB143" s="65" t="n">
        <f aca="false">IF(AB$5="A",Inputs_Actuals!AB97,AA143*(1+Assumptions!$C$130*Assumptions!$F$171))</f>
        <v>6581.42706668557</v>
      </c>
    </row>
    <row r="144" customFormat="false" ht="15" hidden="false" customHeight="false" outlineLevel="0" collapsed="false">
      <c r="A144" s="28" t="s">
        <v>882</v>
      </c>
      <c r="B144" s="63" t="s">
        <v>937</v>
      </c>
      <c r="C144" s="64" t="n">
        <f aca="false">P144</f>
        <v>3344.21018955135</v>
      </c>
      <c r="D144" s="64" t="n">
        <f aca="false">AB144</f>
        <v>3492.54858419664</v>
      </c>
      <c r="E144" s="65" t="n">
        <f aca="false">IF(E$5="A",Inputs_Actuals!E98,History!$E$94*(1+Assumptions!$C$130*Assumptions!$F$171))</f>
        <v>3213.7</v>
      </c>
      <c r="F144" s="65" t="n">
        <f aca="false">IF(F$5="A",Inputs_Actuals!F98,E144*(1+Assumptions!$C$130*Assumptions!$F$171))</f>
        <v>3233.32</v>
      </c>
      <c r="G144" s="65" t="n">
        <f aca="false">IF(G$5="A",Inputs_Actuals!G98,F144*(1+Assumptions!$C$130*Assumptions!$F$171))</f>
        <v>3240.95</v>
      </c>
      <c r="H144" s="65" t="n">
        <f aca="false">IF(H$5="A",Inputs_Actuals!H98,G144*(1+Assumptions!$C$130*Assumptions!$F$171))</f>
        <v>3263.5</v>
      </c>
      <c r="I144" s="65" t="n">
        <f aca="false">IF(I$5="A",Inputs_Actuals!I98,H144*(1+Assumptions!$C$130*Assumptions!$F$171))</f>
        <v>3291.42</v>
      </c>
      <c r="J144" s="65" t="n">
        <f aca="false">IF(J$5="A",Inputs_Actuals!J98,I144*(1+Assumptions!$C$130*Assumptions!$F$171))</f>
        <v>3322.14</v>
      </c>
      <c r="K144" s="65" t="n">
        <f aca="false">IF(K$5="A",Inputs_Actuals!K98,J144*(1+Assumptions!$C$130*Assumptions!$F$171))</f>
        <v>3331.35</v>
      </c>
      <c r="L144" s="65" t="n">
        <f aca="false">IF(L$5="A",Inputs_Actuals!L98,K144*(1+Assumptions!$C$130*Assumptions!$F$171))</f>
        <v>3345.81</v>
      </c>
      <c r="M144" s="65" t="n">
        <f aca="false">IF(M$5="A",Inputs_Actuals!M98,L144*(1+Assumptions!$C$130*Assumptions!$F$171))</f>
        <v>3364.211955</v>
      </c>
      <c r="N144" s="65" t="n">
        <f aca="false">IF(N$5="A",Inputs_Actuals!N98,M144*(1-Assumptions!$C$123*Assumptions!$F$170)*(1-Assumptions!$C$127*Assumptions!$F$170)*(1+Assumptions!N$199)*(1+Assumptions!$C$129*Assumptions!$F$171))</f>
        <v>3307.72515416957</v>
      </c>
      <c r="O144" s="65" t="n">
        <f aca="false">IF(O$5="A",Inputs_Actuals!O98,N144*(1+Assumptions!$C$130*Assumptions!$F$171))</f>
        <v>3325.91764251751</v>
      </c>
      <c r="P144" s="65" t="n">
        <f aca="false">IF(P$5="A",Inputs_Actuals!P98,O144*(1+Assumptions!$C$130*Assumptions!$F$171))</f>
        <v>3344.21018955135</v>
      </c>
      <c r="Q144" s="65" t="n">
        <f aca="false">IF(Q$5="A",Inputs_Actuals!Q98,P144*(1+Assumptions!$C$130*Assumptions!$F$171))</f>
        <v>3362.60334559389</v>
      </c>
      <c r="R144" s="65" t="n">
        <f aca="false">IF(R$5="A",Inputs_Actuals!R98,Q144*(1+Assumptions!$C$130*Assumptions!$F$171))</f>
        <v>3381.09766399465</v>
      </c>
      <c r="S144" s="65" t="n">
        <f aca="false">IF(S$5="A",Inputs_Actuals!S98,R144*(1+Assumptions!$C$130*Assumptions!$F$171))</f>
        <v>3399.69370114662</v>
      </c>
      <c r="T144" s="65" t="n">
        <f aca="false">IF(T$5="A",Inputs_Actuals!T98,S144*(1+Assumptions!$C$130*Assumptions!$F$171))</f>
        <v>3418.39201650293</v>
      </c>
      <c r="U144" s="65" t="n">
        <f aca="false">IF(U$5="A",Inputs_Actuals!U98,T144*(1+Assumptions!$C$130*Assumptions!$F$171))</f>
        <v>3437.1931725937</v>
      </c>
      <c r="V144" s="65" t="n">
        <f aca="false">IF(V$5="A",Inputs_Actuals!V98,U144*(1+Assumptions!$C$130*Assumptions!$F$171))</f>
        <v>3456.09773504296</v>
      </c>
      <c r="W144" s="65" t="n">
        <f aca="false">IF(W$5="A",Inputs_Actuals!W98,V144*(1+Assumptions!$C$130*Assumptions!$F$171))</f>
        <v>3475.1062725857</v>
      </c>
      <c r="X144" s="65" t="n">
        <f aca="false">IF(X$5="A",Inputs_Actuals!X98,W144*(1+Assumptions!$C$130*Assumptions!$F$171))</f>
        <v>3494.21935708492</v>
      </c>
      <c r="Y144" s="65" t="n">
        <f aca="false">IF(Y$5="A",Inputs_Actuals!Y98,X144*(1+Assumptions!$C$130*Assumptions!$F$171))</f>
        <v>3513.43756354889</v>
      </c>
      <c r="Z144" s="65" t="n">
        <f aca="false">IF(Z$5="A",Inputs_Actuals!Z98,Y144*(1-Assumptions!$C$123*Assumptions!$F$170)*(1-Assumptions!$C$127*Assumptions!$F$170)*(1+Assumptions!Z$199)*(1+Assumptions!$C$129*Assumptions!$F$171))</f>
        <v>3454.44519013812</v>
      </c>
      <c r="AA144" s="65" t="n">
        <f aca="false">IF(AA$5="A",Inputs_Actuals!AA98,Z144*(1+Assumptions!$C$130*Assumptions!$F$171))</f>
        <v>3473.44463868388</v>
      </c>
      <c r="AB144" s="65" t="n">
        <f aca="false">IF(AB$5="A",Inputs_Actuals!AB98,AA144*(1+Assumptions!$C$130*Assumptions!$F$171))</f>
        <v>3492.54858419664</v>
      </c>
    </row>
    <row r="145" customFormat="false" ht="15" hidden="false" customHeight="false" outlineLevel="0" collapsed="false">
      <c r="A145" s="28" t="s">
        <v>883</v>
      </c>
      <c r="B145" s="63" t="s">
        <v>937</v>
      </c>
      <c r="C145" s="64" t="n">
        <f aca="false">P145</f>
        <v>4222.60997877475</v>
      </c>
      <c r="D145" s="64" t="n">
        <f aca="false">AB145</f>
        <v>4409.91135935832</v>
      </c>
      <c r="E145" s="65" t="n">
        <f aca="false">IF(E$5="A",Inputs_Actuals!E99,History!$E$95*(1+Assumptions!$C$130*Assumptions!$F$171))</f>
        <v>4108.98</v>
      </c>
      <c r="F145" s="65" t="n">
        <f aca="false">IF(F$5="A",Inputs_Actuals!F99,E145*(1+Assumptions!$C$130*Assumptions!$F$171))</f>
        <v>4140.12</v>
      </c>
      <c r="G145" s="65" t="n">
        <f aca="false">IF(G$5="A",Inputs_Actuals!G99,F145*(1+Assumptions!$C$130*Assumptions!$F$171))</f>
        <v>4140.12</v>
      </c>
      <c r="H145" s="65" t="n">
        <f aca="false">IF(H$5="A",Inputs_Actuals!H99,G145*(1+Assumptions!$C$130*Assumptions!$F$171))</f>
        <v>4147.77</v>
      </c>
      <c r="I145" s="65" t="n">
        <f aca="false">IF(I$5="A",Inputs_Actuals!I99,H145*(1+Assumptions!$C$130*Assumptions!$F$171))</f>
        <v>4178.37</v>
      </c>
      <c r="J145" s="65" t="n">
        <f aca="false">IF(J$5="A",Inputs_Actuals!J99,I145*(1+Assumptions!$C$130*Assumptions!$F$171))</f>
        <v>4189.31</v>
      </c>
      <c r="K145" s="65" t="n">
        <f aca="false">IF(K$5="A",Inputs_Actuals!K99,J145*(1+Assumptions!$C$130*Assumptions!$F$171))</f>
        <v>4205.52</v>
      </c>
      <c r="L145" s="65" t="n">
        <f aca="false">IF(L$5="A",Inputs_Actuals!L99,K145*(1+Assumptions!$C$130*Assumptions!$F$171))</f>
        <v>4224.63</v>
      </c>
      <c r="M145" s="65" t="n">
        <f aca="false">IF(M$5="A",Inputs_Actuals!M99,L145*(1+Assumptions!$C$130*Assumptions!$F$171))</f>
        <v>4247.865465</v>
      </c>
      <c r="N145" s="65" t="n">
        <f aca="false">IF(N$5="A",Inputs_Actuals!N99,M145*(1+Assumptions!$C$130*Assumptions!$F$171))</f>
        <v>4271.2287250575</v>
      </c>
      <c r="O145" s="65" t="n">
        <f aca="false">IF(O$5="A",Inputs_Actuals!O99,N145*(1-Assumptions!$C$123*Assumptions!$F$170)*(1-Assumptions!$C$127*Assumptions!$F$170)*(1+Assumptions!O$199)*(1+Assumptions!$C$129*Assumptions!$F$171))</f>
        <v>4199.51265914942</v>
      </c>
      <c r="P145" s="65" t="n">
        <f aca="false">IF(P$5="A",Inputs_Actuals!P99,O145*(1+Assumptions!$C$130*Assumptions!$F$171))</f>
        <v>4222.60997877475</v>
      </c>
      <c r="Q145" s="65" t="n">
        <f aca="false">IF(Q$5="A",Inputs_Actuals!Q99,P145*(1+Assumptions!$C$130*Assumptions!$F$171))</f>
        <v>4245.83433365801</v>
      </c>
      <c r="R145" s="65" t="n">
        <f aca="false">IF(R$5="A",Inputs_Actuals!R99,Q145*(1+Assumptions!$C$130*Assumptions!$F$171))</f>
        <v>4269.18642249313</v>
      </c>
      <c r="S145" s="65" t="n">
        <f aca="false">IF(S$5="A",Inputs_Actuals!S99,R145*(1+Assumptions!$C$130*Assumptions!$F$171))</f>
        <v>4292.66694781684</v>
      </c>
      <c r="T145" s="65" t="n">
        <f aca="false">IF(T$5="A",Inputs_Actuals!T99,S145*(1+Assumptions!$C$130*Assumptions!$F$171))</f>
        <v>4316.27661602983</v>
      </c>
      <c r="U145" s="65" t="n">
        <f aca="false">IF(U$5="A",Inputs_Actuals!U99,T145*(1+Assumptions!$C$130*Assumptions!$F$171))</f>
        <v>4340.016137418</v>
      </c>
      <c r="V145" s="65" t="n">
        <f aca="false">IF(V$5="A",Inputs_Actuals!V99,U145*(1+Assumptions!$C$130*Assumptions!$F$171))</f>
        <v>4363.8862261738</v>
      </c>
      <c r="W145" s="65" t="n">
        <f aca="false">IF(W$5="A",Inputs_Actuals!W99,V145*(1+Assumptions!$C$130*Assumptions!$F$171))</f>
        <v>4387.88760041775</v>
      </c>
      <c r="X145" s="65" t="n">
        <f aca="false">IF(X$5="A",Inputs_Actuals!X99,W145*(1+Assumptions!$C$130*Assumptions!$F$171))</f>
        <v>4412.02098222005</v>
      </c>
      <c r="Y145" s="65" t="n">
        <f aca="false">IF(Y$5="A",Inputs_Actuals!Y99,X145*(1+Assumptions!$C$130*Assumptions!$F$171))</f>
        <v>4436.28709762226</v>
      </c>
      <c r="Z145" s="65" t="n">
        <f aca="false">IF(Z$5="A",Inputs_Actuals!Z99,Y145*(1+Assumptions!$C$130*Assumptions!$F$171))</f>
        <v>4460.68667665918</v>
      </c>
      <c r="AA145" s="65" t="n">
        <f aca="false">IF(AA$5="A",Inputs_Actuals!AA99,Z145*(1-Assumptions!$C$123*Assumptions!$F$170)*(1-Assumptions!$C$127*Assumptions!$F$170)*(1+Assumptions!AA$199)*(1+Assumptions!$C$129*Assumptions!$F$171))</f>
        <v>4385.78951701474</v>
      </c>
      <c r="AB145" s="65" t="n">
        <f aca="false">IF(AB$5="A",Inputs_Actuals!AB99,AA145*(1+Assumptions!$C$130*Assumptions!$F$171))</f>
        <v>4409.91135935832</v>
      </c>
    </row>
    <row r="146" customFormat="false" ht="15" hidden="false" customHeight="false" outlineLevel="0" collapsed="false">
      <c r="A146" s="28" t="s">
        <v>884</v>
      </c>
      <c r="B146" s="63" t="s">
        <v>937</v>
      </c>
      <c r="C146" s="64" t="n">
        <f aca="false">P146</f>
        <v>1935.50408939926</v>
      </c>
      <c r="D146" s="64" t="n">
        <f aca="false">AB146</f>
        <v>2021.35681789937</v>
      </c>
      <c r="E146" s="65" t="n">
        <f aca="false">IF(E$5="A",Inputs_Actuals!E100,History!$E$96*(1+Assumptions!$C$130*Assumptions!$F$171))</f>
        <v>1858.64</v>
      </c>
      <c r="F146" s="65" t="n">
        <f aca="false">IF(F$5="A",Inputs_Actuals!F100,E146*(1+Assumptions!$C$130*Assumptions!$F$171))</f>
        <v>1867.88</v>
      </c>
      <c r="G146" s="65" t="n">
        <f aca="false">IF(G$5="A",Inputs_Actuals!G100,F146*(1+Assumptions!$C$130*Assumptions!$F$171))</f>
        <v>1875.01</v>
      </c>
      <c r="H146" s="65" t="n">
        <f aca="false">IF(H$5="A",Inputs_Actuals!H100,G146*(1+Assumptions!$C$130*Assumptions!$F$171))</f>
        <v>1892.99</v>
      </c>
      <c r="I146" s="65" t="n">
        <f aca="false">IF(I$5="A",Inputs_Actuals!I100,H146*(1+Assumptions!$C$130*Assumptions!$F$171))</f>
        <v>1907.92</v>
      </c>
      <c r="J146" s="65" t="n">
        <f aca="false">IF(J$5="A",Inputs_Actuals!J100,I146*(1+Assumptions!$C$130*Assumptions!$F$171))</f>
        <v>1918.9</v>
      </c>
      <c r="K146" s="65" t="n">
        <f aca="false">IF(K$5="A",Inputs_Actuals!K100,J146*(1+Assumptions!$C$130*Assumptions!$F$171))</f>
        <v>1929.24</v>
      </c>
      <c r="L146" s="65" t="n">
        <f aca="false">IF(L$5="A",Inputs_Actuals!L100,K146*(1+Assumptions!$C$130*Assumptions!$F$171))</f>
        <v>1936.43</v>
      </c>
      <c r="M146" s="65" t="n">
        <f aca="false">IF(M$5="A",Inputs_Actuals!M100,L146*(1+Assumptions!$C$130*Assumptions!$F$171))</f>
        <v>1947.080365</v>
      </c>
      <c r="N146" s="65" t="n">
        <f aca="false">IF(N$5="A",Inputs_Actuals!N100,M146*(1+Assumptions!$C$130*Assumptions!$F$171))</f>
        <v>1957.7893070075</v>
      </c>
      <c r="O146" s="65" t="n">
        <f aca="false">IF(O$5="A",Inputs_Actuals!O100,N146*(1+Assumptions!$C$130*Assumptions!$F$171))</f>
        <v>1968.55714819604</v>
      </c>
      <c r="P146" s="65" t="n">
        <f aca="false">IF(P$5="A",Inputs_Actuals!P100,O146*(1-Assumptions!$C$123*Assumptions!$F$170)*(1-Assumptions!$C$127*Assumptions!$F$170)*(1+Assumptions!P$199)*(1+Assumptions!$C$129*Assumptions!$F$171))</f>
        <v>1935.50408939926</v>
      </c>
      <c r="Q146" s="65" t="n">
        <f aca="false">IF(Q$5="A",Inputs_Actuals!Q100,P146*(1+Assumptions!$C$130*Assumptions!$F$171))</f>
        <v>1946.14936189095</v>
      </c>
      <c r="R146" s="65" t="n">
        <f aca="false">IF(R$5="A",Inputs_Actuals!R100,Q146*(1+Assumptions!$C$130*Assumptions!$F$171))</f>
        <v>1956.85318338135</v>
      </c>
      <c r="S146" s="65" t="n">
        <f aca="false">IF(S$5="A",Inputs_Actuals!S100,R146*(1+Assumptions!$C$130*Assumptions!$F$171))</f>
        <v>1967.61587588995</v>
      </c>
      <c r="T146" s="65" t="n">
        <f aca="false">IF(T$5="A",Inputs_Actuals!T100,S146*(1+Assumptions!$C$130*Assumptions!$F$171))</f>
        <v>1978.43776320735</v>
      </c>
      <c r="U146" s="65" t="n">
        <f aca="false">IF(U$5="A",Inputs_Actuals!U100,T146*(1+Assumptions!$C$130*Assumptions!$F$171))</f>
        <v>1989.31917090499</v>
      </c>
      <c r="V146" s="65" t="n">
        <f aca="false">IF(V$5="A",Inputs_Actuals!V100,U146*(1+Assumptions!$C$130*Assumptions!$F$171))</f>
        <v>2000.26042634496</v>
      </c>
      <c r="W146" s="65" t="n">
        <f aca="false">IF(W$5="A",Inputs_Actuals!W100,V146*(1+Assumptions!$C$130*Assumptions!$F$171))</f>
        <v>2011.26185868986</v>
      </c>
      <c r="X146" s="65" t="n">
        <f aca="false">IF(X$5="A",Inputs_Actuals!X100,W146*(1+Assumptions!$C$130*Assumptions!$F$171))</f>
        <v>2022.32379891266</v>
      </c>
      <c r="Y146" s="65" t="n">
        <f aca="false">IF(Y$5="A",Inputs_Actuals!Y100,X146*(1+Assumptions!$C$130*Assumptions!$F$171))</f>
        <v>2033.44657980668</v>
      </c>
      <c r="Z146" s="65" t="n">
        <f aca="false">IF(Z$5="A",Inputs_Actuals!Z100,Y146*(1+Assumptions!$C$130*Assumptions!$F$171))</f>
        <v>2044.63053599561</v>
      </c>
      <c r="AA146" s="65" t="n">
        <f aca="false">IF(AA$5="A",Inputs_Actuals!AA100,Z146*(1+Assumptions!$C$130*Assumptions!$F$171))</f>
        <v>2055.87600394359</v>
      </c>
      <c r="AB146" s="65" t="n">
        <f aca="false">IF(AB$5="A",Inputs_Actuals!AB100,AA146*(1-Assumptions!$C$123*Assumptions!$F$170)*(1-Assumptions!$C$127*Assumptions!$F$170)*(1+Assumptions!AB$199)*(1+Assumptions!$C$129*Assumptions!$F$171))</f>
        <v>2021.35681789937</v>
      </c>
    </row>
    <row r="147" customFormat="false" ht="15" hidden="false" customHeight="false" outlineLevel="0" collapsed="false">
      <c r="A147" s="28" t="s">
        <v>885</v>
      </c>
      <c r="B147" s="63" t="s">
        <v>937</v>
      </c>
      <c r="C147" s="64" t="n">
        <f aca="false">P147</f>
        <v>5221.58249523307</v>
      </c>
      <c r="D147" s="64" t="n">
        <f aca="false">AB147</f>
        <v>5453.19507965461</v>
      </c>
      <c r="E147" s="65" t="n">
        <f aca="false">IF(E$5="A",Inputs_Actuals!E101,History!$E$97*(1-Assumptions!$C$122*Assumptions!$F$170)*(1-Assumptions!$C$126*Assumptions!$F$170)*(1+Assumptions!E$199)*(1+Assumptions!$C$128*Assumptions!$F$171))</f>
        <v>4886.36</v>
      </c>
      <c r="F147" s="65" t="n">
        <f aca="false">IF(F$5="A",Inputs_Actuals!F101,E147*(1+Assumptions!$C$130*Assumptions!$F$171))</f>
        <v>4932.29</v>
      </c>
      <c r="G147" s="65" t="n">
        <f aca="false">IF(G$5="A",Inputs_Actuals!G101,F147*(1+Assumptions!$C$130*Assumptions!$F$171))</f>
        <v>4973.32</v>
      </c>
      <c r="H147" s="65" t="n">
        <f aca="false">IF(H$5="A",Inputs_Actuals!H101,G147*(1+Assumptions!$C$130*Assumptions!$F$171))</f>
        <v>4998.08</v>
      </c>
      <c r="I147" s="65" t="n">
        <f aca="false">IF(I$5="A",Inputs_Actuals!I101,H147*(1+Assumptions!$C$130*Assumptions!$F$171))</f>
        <v>5045.71</v>
      </c>
      <c r="J147" s="65" t="n">
        <f aca="false">IF(J$5="A",Inputs_Actuals!J101,I147*(1+Assumptions!$C$130*Assumptions!$F$171))</f>
        <v>5056.09</v>
      </c>
      <c r="K147" s="65" t="n">
        <f aca="false">IF(K$5="A",Inputs_Actuals!K101,J147*(1+Assumptions!$C$130*Assumptions!$F$171))</f>
        <v>5092.82</v>
      </c>
      <c r="L147" s="65" t="n">
        <f aca="false">IF(L$5="A",Inputs_Actuals!L101,K147*(1+Assumptions!$C$130*Assumptions!$F$171))</f>
        <v>5108.27</v>
      </c>
      <c r="M147" s="65" t="n">
        <f aca="false">IF(M$5="A",Inputs_Actuals!M101,L147*(1+Assumptions!$C$130*Assumptions!$F$171))</f>
        <v>5136.365485</v>
      </c>
      <c r="N147" s="65" t="n">
        <f aca="false">IF(N$5="A",Inputs_Actuals!N101,M147*(1+Assumptions!$C$130*Assumptions!$F$171))</f>
        <v>5164.6154951675</v>
      </c>
      <c r="O147" s="65" t="n">
        <f aca="false">IF(O$5="A",Inputs_Actuals!O101,N147*(1+Assumptions!$C$130*Assumptions!$F$171))</f>
        <v>5193.02088039092</v>
      </c>
      <c r="P147" s="65" t="n">
        <f aca="false">IF(P$5="A",Inputs_Actuals!P101,O147*(1+Assumptions!$C$130*Assumptions!$F$171))</f>
        <v>5221.58249523307</v>
      </c>
      <c r="Q147" s="65" t="n">
        <f aca="false">IF(Q$5="A",Inputs_Actuals!Q101,P147*(1-Assumptions!$C$123*Assumptions!$F$170)*(1-Assumptions!$C$127*Assumptions!$F$170)*(1+Assumptions!Q$199)*(1+Assumptions!$C$129*Assumptions!$F$171))</f>
        <v>5133.90951434686</v>
      </c>
      <c r="R147" s="65" t="n">
        <f aca="false">IF(R$5="A",Inputs_Actuals!R101,Q147*(1+Assumptions!$C$130*Assumptions!$F$171))</f>
        <v>5162.14601667577</v>
      </c>
      <c r="S147" s="65" t="n">
        <f aca="false">IF(S$5="A",Inputs_Actuals!S101,R147*(1+Assumptions!$C$130*Assumptions!$F$171))</f>
        <v>5190.53781976749</v>
      </c>
      <c r="T147" s="65" t="n">
        <f aca="false">IF(T$5="A",Inputs_Actuals!T101,S147*(1+Assumptions!$C$130*Assumptions!$F$171))</f>
        <v>5219.08577777621</v>
      </c>
      <c r="U147" s="65" t="n">
        <f aca="false">IF(U$5="A",Inputs_Actuals!U101,T147*(1+Assumptions!$C$130*Assumptions!$F$171))</f>
        <v>5247.79074955398</v>
      </c>
      <c r="V147" s="65" t="n">
        <f aca="false">IF(V$5="A",Inputs_Actuals!V101,U147*(1+Assumptions!$C$130*Assumptions!$F$171))</f>
        <v>5276.65359867653</v>
      </c>
      <c r="W147" s="65" t="n">
        <f aca="false">IF(W$5="A",Inputs_Actuals!W101,V147*(1+Assumptions!$C$130*Assumptions!$F$171))</f>
        <v>5305.67519346925</v>
      </c>
      <c r="X147" s="65" t="n">
        <f aca="false">IF(X$5="A",Inputs_Actuals!X101,W147*(1+Assumptions!$C$130*Assumptions!$F$171))</f>
        <v>5334.85640703333</v>
      </c>
      <c r="Y147" s="65" t="n">
        <f aca="false">IF(Y$5="A",Inputs_Actuals!Y101,X147*(1+Assumptions!$C$130*Assumptions!$F$171))</f>
        <v>5364.19811727201</v>
      </c>
      <c r="Z147" s="65" t="n">
        <f aca="false">IF(Z$5="A",Inputs_Actuals!Z101,Y147*(1+Assumptions!$C$130*Assumptions!$F$171))</f>
        <v>5393.70120691701</v>
      </c>
      <c r="AA147" s="65" t="n">
        <f aca="false">IF(AA$5="A",Inputs_Actuals!AA101,Z147*(1+Assumptions!$C$130*Assumptions!$F$171))</f>
        <v>5423.36656355505</v>
      </c>
      <c r="AB147" s="65" t="n">
        <f aca="false">IF(AB$5="A",Inputs_Actuals!AB101,AA147*(1+Assumptions!$C$130*Assumptions!$F$171))</f>
        <v>5453.19507965461</v>
      </c>
    </row>
    <row r="148" customFormat="false" ht="15" hidden="false" customHeight="false" outlineLevel="0" collapsed="false">
      <c r="A148" s="28" t="s">
        <v>886</v>
      </c>
      <c r="B148" s="63" t="s">
        <v>937</v>
      </c>
      <c r="C148" s="64" t="n">
        <f aca="false">P148</f>
        <v>1135.66483053046</v>
      </c>
      <c r="D148" s="64" t="n">
        <f aca="false">AB148</f>
        <v>1186.03926523027</v>
      </c>
      <c r="E148" s="65" t="n">
        <f aca="false">IF(E$5="A",Inputs_Actuals!E102,History!$E$98*(1+Assumptions!$C$130*Assumptions!$F$171))</f>
        <v>992.9</v>
      </c>
      <c r="F148" s="65" t="n">
        <f aca="false">IF(F$5="A",Inputs_Actuals!F102,E148*(1-Assumptions!$C$122*Assumptions!$F$170)*(1-Assumptions!$C$126*Assumptions!$F$170)*(1+Assumptions!F$199)*(1+Assumptions!$C$128*Assumptions!$F$171))</f>
        <v>1068.71</v>
      </c>
      <c r="G148" s="65" t="n">
        <f aca="false">IF(G$5="A",Inputs_Actuals!G102,F148*(1+Assumptions!$C$130*Assumptions!$F$171))</f>
        <v>1076.41</v>
      </c>
      <c r="H148" s="65" t="n">
        <f aca="false">IF(H$5="A",Inputs_Actuals!H102,G148*(1+Assumptions!$C$130*Assumptions!$F$171))</f>
        <v>1076.98</v>
      </c>
      <c r="I148" s="65" t="n">
        <f aca="false">IF(I$5="A",Inputs_Actuals!I102,H148*(1+Assumptions!$C$130*Assumptions!$F$171))</f>
        <v>1081.03</v>
      </c>
      <c r="J148" s="65" t="n">
        <f aca="false">IF(J$5="A",Inputs_Actuals!J102,I148*(1+Assumptions!$C$130*Assumptions!$F$171))</f>
        <v>1092</v>
      </c>
      <c r="K148" s="65" t="n">
        <f aca="false">IF(K$5="A",Inputs_Actuals!K102,J148*(1+Assumptions!$C$130*Assumptions!$F$171))</f>
        <v>1101.91</v>
      </c>
      <c r="L148" s="65" t="n">
        <f aca="false">IF(L$5="A",Inputs_Actuals!L102,K148*(1+Assumptions!$C$130*Assumptions!$F$171))</f>
        <v>1111.02</v>
      </c>
      <c r="M148" s="65" t="n">
        <f aca="false">IF(M$5="A",Inputs_Actuals!M102,L148*(1+Assumptions!$C$130*Assumptions!$F$171))</f>
        <v>1117.13061</v>
      </c>
      <c r="N148" s="65" t="n">
        <f aca="false">IF(N$5="A",Inputs_Actuals!N102,M148*(1+Assumptions!$C$130*Assumptions!$F$171))</f>
        <v>1123.274828355</v>
      </c>
      <c r="O148" s="65" t="n">
        <f aca="false">IF(O$5="A",Inputs_Actuals!O102,N148*(1+Assumptions!$C$130*Assumptions!$F$171))</f>
        <v>1129.45283991095</v>
      </c>
      <c r="P148" s="65" t="n">
        <f aca="false">IF(P$5="A",Inputs_Actuals!P102,O148*(1+Assumptions!$C$130*Assumptions!$F$171))</f>
        <v>1135.66483053046</v>
      </c>
      <c r="Q148" s="65" t="n">
        <f aca="false">IF(Q$5="A",Inputs_Actuals!Q102,P148*(1+Assumptions!$C$130*Assumptions!$F$171))</f>
        <v>1141.91098709838</v>
      </c>
      <c r="R148" s="65" t="n">
        <f aca="false">IF(R$5="A",Inputs_Actuals!R102,Q148*(1-Assumptions!$C$123*Assumptions!$F$170)*(1-Assumptions!$C$127*Assumptions!$F$170)*(1+Assumptions!R$199)*(1+Assumptions!$C$129*Assumptions!$F$171))</f>
        <v>1122.73773066951</v>
      </c>
      <c r="S148" s="65" t="n">
        <f aca="false">IF(S$5="A",Inputs_Actuals!S102,R148*(1+Assumptions!$C$130*Assumptions!$F$171))</f>
        <v>1128.91278818819</v>
      </c>
      <c r="T148" s="65" t="n">
        <f aca="false">IF(T$5="A",Inputs_Actuals!T102,S148*(1+Assumptions!$C$130*Assumptions!$F$171))</f>
        <v>1135.12180852322</v>
      </c>
      <c r="U148" s="65" t="n">
        <f aca="false">IF(U$5="A",Inputs_Actuals!U102,T148*(1+Assumptions!$C$130*Assumptions!$F$171))</f>
        <v>1141.3649784701</v>
      </c>
      <c r="V148" s="65" t="n">
        <f aca="false">IF(V$5="A",Inputs_Actuals!V102,U148*(1+Assumptions!$C$130*Assumptions!$F$171))</f>
        <v>1147.64248585169</v>
      </c>
      <c r="W148" s="65" t="n">
        <f aca="false">IF(W$5="A",Inputs_Actuals!W102,V148*(1+Assumptions!$C$130*Assumptions!$F$171))</f>
        <v>1153.95451952387</v>
      </c>
      <c r="X148" s="65" t="n">
        <f aca="false">IF(X$5="A",Inputs_Actuals!X102,W148*(1+Assumptions!$C$130*Assumptions!$F$171))</f>
        <v>1160.30126938125</v>
      </c>
      <c r="Y148" s="65" t="n">
        <f aca="false">IF(Y$5="A",Inputs_Actuals!Y102,X148*(1+Assumptions!$C$130*Assumptions!$F$171))</f>
        <v>1166.68292636285</v>
      </c>
      <c r="Z148" s="65" t="n">
        <f aca="false">IF(Z$5="A",Inputs_Actuals!Z102,Y148*(1+Assumptions!$C$130*Assumptions!$F$171))</f>
        <v>1173.09968245784</v>
      </c>
      <c r="AA148" s="65" t="n">
        <f aca="false">IF(AA$5="A",Inputs_Actuals!AA102,Z148*(1+Assumptions!$C$130*Assumptions!$F$171))</f>
        <v>1179.55173071136</v>
      </c>
      <c r="AB148" s="65" t="n">
        <f aca="false">IF(AB$5="A",Inputs_Actuals!AB102,AA148*(1+Assumptions!$C$130*Assumptions!$F$171))</f>
        <v>1186.03926523027</v>
      </c>
    </row>
    <row r="149" customFormat="false" ht="15" hidden="false" customHeight="false" outlineLevel="0" collapsed="false">
      <c r="A149" s="28" t="s">
        <v>887</v>
      </c>
      <c r="B149" s="63" t="s">
        <v>937</v>
      </c>
      <c r="C149" s="64" t="n">
        <f aca="false">P149</f>
        <v>3405.57365838007</v>
      </c>
      <c r="D149" s="64" t="n">
        <f aca="false">AB149</f>
        <v>3556.63393889377</v>
      </c>
      <c r="E149" s="65" t="n">
        <f aca="false">IF(E$5="A",Inputs_Actuals!E103,History!$E$99*(1+Assumptions!$C$130*Assumptions!$F$171))</f>
        <v>5150.98</v>
      </c>
      <c r="F149" s="65" t="n">
        <f aca="false">IF(F$5="A",Inputs_Actuals!F103,E149*(1+Assumptions!$C$130*Assumptions!$F$171))</f>
        <v>5154.61</v>
      </c>
      <c r="G149" s="65" t="n">
        <f aca="false">IF(G$5="A",Inputs_Actuals!G103,F149*(1-Assumptions!$C$122*Assumptions!$F$170)*(1-Assumptions!$C$126*Assumptions!$F$170)*(1+Assumptions!G$199)*(1+Assumptions!$C$128*Assumptions!$F$171))</f>
        <v>3273.97</v>
      </c>
      <c r="H149" s="65" t="n">
        <f aca="false">IF(H$5="A",Inputs_Actuals!H103,G149*(1+Assumptions!$C$130*Assumptions!$F$171))</f>
        <v>3282.55</v>
      </c>
      <c r="I149" s="65" t="n">
        <f aca="false">IF(I$5="A",Inputs_Actuals!I103,H149*(1+Assumptions!$C$130*Assumptions!$F$171))</f>
        <v>3292.91</v>
      </c>
      <c r="J149" s="65" t="n">
        <f aca="false">IF(J$5="A",Inputs_Actuals!J103,I149*(1+Assumptions!$C$130*Assumptions!$F$171))</f>
        <v>3296.19</v>
      </c>
      <c r="K149" s="65" t="n">
        <f aca="false">IF(K$5="A",Inputs_Actuals!K103,J149*(1+Assumptions!$C$130*Assumptions!$F$171))</f>
        <v>3331.67</v>
      </c>
      <c r="L149" s="65" t="n">
        <f aca="false">IF(L$5="A",Inputs_Actuals!L103,K149*(1+Assumptions!$C$130*Assumptions!$F$171))</f>
        <v>3331.67</v>
      </c>
      <c r="M149" s="65" t="n">
        <f aca="false">IF(M$5="A",Inputs_Actuals!M103,L149*(1+Assumptions!$C$130*Assumptions!$F$171))</f>
        <v>3349.994185</v>
      </c>
      <c r="N149" s="65" t="n">
        <f aca="false">IF(N$5="A",Inputs_Actuals!N103,M149*(1+Assumptions!$C$130*Assumptions!$F$171))</f>
        <v>3368.4191530175</v>
      </c>
      <c r="O149" s="65" t="n">
        <f aca="false">IF(O$5="A",Inputs_Actuals!O103,N149*(1+Assumptions!$C$130*Assumptions!$F$171))</f>
        <v>3386.9454583591</v>
      </c>
      <c r="P149" s="65" t="n">
        <f aca="false">IF(P$5="A",Inputs_Actuals!P103,O149*(1+Assumptions!$C$130*Assumptions!$F$171))</f>
        <v>3405.57365838007</v>
      </c>
      <c r="Q149" s="65" t="n">
        <f aca="false">IF(Q$5="A",Inputs_Actuals!Q103,P149*(1+Assumptions!$C$130*Assumptions!$F$171))</f>
        <v>3424.30431350116</v>
      </c>
      <c r="R149" s="65" t="n">
        <f aca="false">IF(R$5="A",Inputs_Actuals!R103,Q149*(1+Assumptions!$C$130*Assumptions!$F$171))</f>
        <v>3443.13798722542</v>
      </c>
      <c r="S149" s="65" t="n">
        <f aca="false">IF(S$5="A",Inputs_Actuals!S103,R149*(1-Assumptions!$C$123*Assumptions!$F$170)*(1-Assumptions!$C$127*Assumptions!$F$170)*(1+Assumptions!S$199)*(1+Assumptions!$C$129*Assumptions!$F$171))</f>
        <v>3385.32597885091</v>
      </c>
      <c r="T149" s="65" t="n">
        <f aca="false">IF(T$5="A",Inputs_Actuals!T103,S149*(1+Assumptions!$C$130*Assumptions!$F$171))</f>
        <v>3403.94527173459</v>
      </c>
      <c r="U149" s="65" t="n">
        <f aca="false">IF(U$5="A",Inputs_Actuals!U103,T149*(1+Assumptions!$C$130*Assumptions!$F$171))</f>
        <v>3422.66697072913</v>
      </c>
      <c r="V149" s="65" t="n">
        <f aca="false">IF(V$5="A",Inputs_Actuals!V103,U149*(1+Assumptions!$C$130*Assumptions!$F$171))</f>
        <v>3441.49163906814</v>
      </c>
      <c r="W149" s="65" t="n">
        <f aca="false">IF(W$5="A",Inputs_Actuals!W103,V149*(1+Assumptions!$C$130*Assumptions!$F$171))</f>
        <v>3460.41984308302</v>
      </c>
      <c r="X149" s="65" t="n">
        <f aca="false">IF(X$5="A",Inputs_Actuals!X103,W149*(1+Assumptions!$C$130*Assumptions!$F$171))</f>
        <v>3479.45215221998</v>
      </c>
      <c r="Y149" s="65" t="n">
        <f aca="false">IF(Y$5="A",Inputs_Actuals!Y103,X149*(1+Assumptions!$C$130*Assumptions!$F$171))</f>
        <v>3498.58913905718</v>
      </c>
      <c r="Z149" s="65" t="n">
        <f aca="false">IF(Z$5="A",Inputs_Actuals!Z103,Y149*(1+Assumptions!$C$130*Assumptions!$F$171))</f>
        <v>3517.831379322</v>
      </c>
      <c r="AA149" s="65" t="n">
        <f aca="false">IF(AA$5="A",Inputs_Actuals!AA103,Z149*(1+Assumptions!$C$130*Assumptions!$F$171))</f>
        <v>3537.17945190827</v>
      </c>
      <c r="AB149" s="65" t="n">
        <f aca="false">IF(AB$5="A",Inputs_Actuals!AB103,AA149*(1+Assumptions!$C$130*Assumptions!$F$171))</f>
        <v>3556.63393889377</v>
      </c>
    </row>
    <row r="150" customFormat="false" ht="15" hidden="false" customHeight="false" outlineLevel="0" collapsed="false">
      <c r="A150" s="28" t="s">
        <v>888</v>
      </c>
      <c r="B150" s="63" t="s">
        <v>937</v>
      </c>
      <c r="C150" s="64" t="n">
        <f aca="false">P150</f>
        <v>2152.21477320858</v>
      </c>
      <c r="D150" s="64" t="n">
        <f aca="false">AB150</f>
        <v>2247.68008976886</v>
      </c>
      <c r="E150" s="65" t="n">
        <f aca="false">IF(E$5="A",Inputs_Actuals!E104,History!$E$100*(1+Assumptions!$C$130*Assumptions!$F$171))</f>
        <v>1889.64</v>
      </c>
      <c r="F150" s="65" t="n">
        <f aca="false">IF(F$5="A",Inputs_Actuals!F104,E150*(1+Assumptions!$C$130*Assumptions!$F$171))</f>
        <v>1897.88</v>
      </c>
      <c r="G150" s="65" t="n">
        <f aca="false">IF(G$5="A",Inputs_Actuals!G104,F150*(1+Assumptions!$C$130*Assumptions!$F$171))</f>
        <v>1908.35</v>
      </c>
      <c r="H150" s="65" t="n">
        <f aca="false">IF(H$5="A",Inputs_Actuals!H104,G150*(1-Assumptions!$C$122*Assumptions!$F$170)*(1-Assumptions!$C$126*Assumptions!$F$170)*(1+Assumptions!H$199)*(1+Assumptions!$C$128*Assumptions!$F$171))</f>
        <v>2055.7</v>
      </c>
      <c r="I150" s="65" t="n">
        <f aca="false">IF(I$5="A",Inputs_Actuals!I104,H150*(1+Assumptions!$C$130*Assumptions!$F$171))</f>
        <v>2073.67</v>
      </c>
      <c r="J150" s="65" t="n">
        <f aca="false">IF(J$5="A",Inputs_Actuals!J104,I150*(1+Assumptions!$C$130*Assumptions!$F$171))</f>
        <v>2082.52</v>
      </c>
      <c r="K150" s="65" t="n">
        <f aca="false">IF(K$5="A",Inputs_Actuals!K104,J150*(1+Assumptions!$C$130*Assumptions!$F$171))</f>
        <v>2087.85</v>
      </c>
      <c r="L150" s="65" t="n">
        <f aca="false">IF(L$5="A",Inputs_Actuals!L104,K150*(1+Assumptions!$C$130*Assumptions!$F$171))</f>
        <v>2105.51</v>
      </c>
      <c r="M150" s="65" t="n">
        <f aca="false">IF(M$5="A",Inputs_Actuals!M104,L150*(1+Assumptions!$C$130*Assumptions!$F$171))</f>
        <v>2117.090305</v>
      </c>
      <c r="N150" s="65" t="n">
        <f aca="false">IF(N$5="A",Inputs_Actuals!N104,M150*(1+Assumptions!$C$130*Assumptions!$F$171))</f>
        <v>2128.7343016775</v>
      </c>
      <c r="O150" s="65" t="n">
        <f aca="false">IF(O$5="A",Inputs_Actuals!O104,N150*(1+Assumptions!$C$130*Assumptions!$F$171))</f>
        <v>2140.44234033673</v>
      </c>
      <c r="P150" s="65" t="n">
        <f aca="false">IF(P$5="A",Inputs_Actuals!P104,O150*(1+Assumptions!$C$130*Assumptions!$F$171))</f>
        <v>2152.21477320858</v>
      </c>
      <c r="Q150" s="65" t="n">
        <f aca="false">IF(Q$5="A",Inputs_Actuals!Q104,P150*(1+Assumptions!$C$130*Assumptions!$F$171))</f>
        <v>2164.05195446123</v>
      </c>
      <c r="R150" s="65" t="n">
        <f aca="false">IF(R$5="A",Inputs_Actuals!R104,Q150*(1+Assumptions!$C$130*Assumptions!$F$171))</f>
        <v>2175.95424021076</v>
      </c>
      <c r="S150" s="65" t="n">
        <f aca="false">IF(S$5="A",Inputs_Actuals!S104,R150*(1+Assumptions!$C$130*Assumptions!$F$171))</f>
        <v>2187.92198853192</v>
      </c>
      <c r="T150" s="65" t="n">
        <f aca="false">IF(T$5="A",Inputs_Actuals!T104,S150*(1-Assumptions!$C$123*Assumptions!$F$170)*(1-Assumptions!$C$127*Assumptions!$F$170)*(1+Assumptions!T$199)*(1+Assumptions!$C$129*Assumptions!$F$171))</f>
        <v>2151.18568438348</v>
      </c>
      <c r="U150" s="65" t="n">
        <f aca="false">IF(U$5="A",Inputs_Actuals!U104,T150*(1+Assumptions!$C$130*Assumptions!$F$171))</f>
        <v>2163.01720564759</v>
      </c>
      <c r="V150" s="65" t="n">
        <f aca="false">IF(V$5="A",Inputs_Actuals!V104,U150*(1+Assumptions!$C$130*Assumptions!$F$171))</f>
        <v>2174.91380027865</v>
      </c>
      <c r="W150" s="65" t="n">
        <f aca="false">IF(W$5="A",Inputs_Actuals!W104,V150*(1+Assumptions!$C$130*Assumptions!$F$171))</f>
        <v>2186.87582618018</v>
      </c>
      <c r="X150" s="65" t="n">
        <f aca="false">IF(X$5="A",Inputs_Actuals!X104,W150*(1+Assumptions!$C$130*Assumptions!$F$171))</f>
        <v>2198.90364322417</v>
      </c>
      <c r="Y150" s="65" t="n">
        <f aca="false">IF(Y$5="A",Inputs_Actuals!Y104,X150*(1+Assumptions!$C$130*Assumptions!$F$171))</f>
        <v>2210.99761326191</v>
      </c>
      <c r="Z150" s="65" t="n">
        <f aca="false">IF(Z$5="A",Inputs_Actuals!Z104,Y150*(1+Assumptions!$C$130*Assumptions!$F$171))</f>
        <v>2223.15810013485</v>
      </c>
      <c r="AA150" s="65" t="n">
        <f aca="false">IF(AA$5="A",Inputs_Actuals!AA104,Z150*(1+Assumptions!$C$130*Assumptions!$F$171))</f>
        <v>2235.38546968559</v>
      </c>
      <c r="AB150" s="65" t="n">
        <f aca="false">IF(AB$5="A",Inputs_Actuals!AB104,AA150*(1+Assumptions!$C$130*Assumptions!$F$171))</f>
        <v>2247.68008976886</v>
      </c>
    </row>
    <row r="151" customFormat="false" ht="15" hidden="false" customHeight="false" outlineLevel="0" collapsed="false">
      <c r="A151" s="28" t="s">
        <v>889</v>
      </c>
      <c r="B151" s="63" t="s">
        <v>937</v>
      </c>
      <c r="C151" s="64" t="n">
        <f aca="false">P151</f>
        <v>3804.44958335856</v>
      </c>
      <c r="D151" s="64" t="n">
        <f aca="false">AB151</f>
        <v>3973.20271540378</v>
      </c>
      <c r="E151" s="65" t="n">
        <f aca="false">IF(E$5="A",Inputs_Actuals!E105,History!$E$101*(1+Assumptions!$C$130*Assumptions!$F$171))</f>
        <v>5099.22</v>
      </c>
      <c r="F151" s="65" t="n">
        <f aca="false">IF(F$5="A",Inputs_Actuals!F105,E151*(1+Assumptions!$C$130*Assumptions!$F$171))</f>
        <v>5107.38</v>
      </c>
      <c r="G151" s="65" t="n">
        <f aca="false">IF(G$5="A",Inputs_Actuals!G105,F151*(1+Assumptions!$C$130*Assumptions!$F$171))</f>
        <v>5164.21</v>
      </c>
      <c r="H151" s="65" t="n">
        <f aca="false">IF(H$5="A",Inputs_Actuals!H105,G151*(1+Assumptions!$C$130*Assumptions!$F$171))</f>
        <v>5164.21</v>
      </c>
      <c r="I151" s="65" t="n">
        <f aca="false">IF(I$5="A",Inputs_Actuals!I105,H151*(1-Assumptions!$C$122*Assumptions!$F$170)*(1-Assumptions!$C$126*Assumptions!$F$170)*(1+Assumptions!I$199)*(1+Assumptions!$C$128*Assumptions!$F$171))</f>
        <v>3690.91</v>
      </c>
      <c r="J151" s="65" t="n">
        <f aca="false">IF(J$5="A",Inputs_Actuals!J105,I151*(1+Assumptions!$C$130*Assumptions!$F$171))</f>
        <v>3695.88</v>
      </c>
      <c r="K151" s="65" t="n">
        <f aca="false">IF(K$5="A",Inputs_Actuals!K105,J151*(1+Assumptions!$C$130*Assumptions!$F$171))</f>
        <v>3721.5</v>
      </c>
      <c r="L151" s="65" t="n">
        <f aca="false">IF(L$5="A",Inputs_Actuals!L105,K151*(1+Assumptions!$C$130*Assumptions!$F$171))</f>
        <v>3721.89</v>
      </c>
      <c r="M151" s="65" t="n">
        <f aca="false">IF(M$5="A",Inputs_Actuals!M105,L151*(1+Assumptions!$C$130*Assumptions!$F$171))</f>
        <v>3742.360395</v>
      </c>
      <c r="N151" s="65" t="n">
        <f aca="false">IF(N$5="A",Inputs_Actuals!N105,M151*(1+Assumptions!$C$130*Assumptions!$F$171))</f>
        <v>3762.9433771725</v>
      </c>
      <c r="O151" s="65" t="n">
        <f aca="false">IF(O$5="A",Inputs_Actuals!O105,N151*(1+Assumptions!$C$130*Assumptions!$F$171))</f>
        <v>3783.63956574695</v>
      </c>
      <c r="P151" s="65" t="n">
        <f aca="false">IF(P$5="A",Inputs_Actuals!P105,O151*(1+Assumptions!$C$130*Assumptions!$F$171))</f>
        <v>3804.44958335856</v>
      </c>
      <c r="Q151" s="65" t="n">
        <f aca="false">IF(Q$5="A",Inputs_Actuals!Q105,P151*(1+Assumptions!$C$130*Assumptions!$F$171))</f>
        <v>3825.37405606703</v>
      </c>
      <c r="R151" s="65" t="n">
        <f aca="false">IF(R$5="A",Inputs_Actuals!R105,Q151*(1+Assumptions!$C$130*Assumptions!$F$171))</f>
        <v>3846.4136133754</v>
      </c>
      <c r="S151" s="65" t="n">
        <f aca="false">IF(S$5="A",Inputs_Actuals!S105,R151*(1+Assumptions!$C$130*Assumptions!$F$171))</f>
        <v>3867.56888824896</v>
      </c>
      <c r="T151" s="65" t="n">
        <f aca="false">IF(T$5="A",Inputs_Actuals!T105,S151*(1+Assumptions!$C$130*Assumptions!$F$171))</f>
        <v>3888.84051713433</v>
      </c>
      <c r="U151" s="65" t="n">
        <f aca="false">IF(U$5="A",Inputs_Actuals!U105,T151*(1-Assumptions!$C$123*Assumptions!$F$170)*(1-Assumptions!$C$127*Assumptions!$F$170)*(1+Assumptions!U$199)*(1+Assumptions!$C$129*Assumptions!$F$171))</f>
        <v>3823.54494043139</v>
      </c>
      <c r="V151" s="65" t="n">
        <f aca="false">IF(V$5="A",Inputs_Actuals!V105,U151*(1+Assumptions!$C$130*Assumptions!$F$171))</f>
        <v>3844.57443760376</v>
      </c>
      <c r="W151" s="65" t="n">
        <f aca="false">IF(W$5="A",Inputs_Actuals!W105,V151*(1+Assumptions!$C$130*Assumptions!$F$171))</f>
        <v>3865.71959701058</v>
      </c>
      <c r="X151" s="65" t="n">
        <f aca="false">IF(X$5="A",Inputs_Actuals!X105,W151*(1+Assumptions!$C$130*Assumptions!$F$171))</f>
        <v>3886.98105479414</v>
      </c>
      <c r="Y151" s="65" t="n">
        <f aca="false">IF(Y$5="A",Inputs_Actuals!Y105,X151*(1+Assumptions!$C$130*Assumptions!$F$171))</f>
        <v>3908.35945059551</v>
      </c>
      <c r="Z151" s="65" t="n">
        <f aca="false">IF(Z$5="A",Inputs_Actuals!Z105,Y151*(1+Assumptions!$C$130*Assumptions!$F$171))</f>
        <v>3929.85542757379</v>
      </c>
      <c r="AA151" s="65" t="n">
        <f aca="false">IF(AA$5="A",Inputs_Actuals!AA105,Z151*(1+Assumptions!$C$130*Assumptions!$F$171))</f>
        <v>3951.46963242544</v>
      </c>
      <c r="AB151" s="65" t="n">
        <f aca="false">IF(AB$5="A",Inputs_Actuals!AB105,AA151*(1+Assumptions!$C$130*Assumptions!$F$171))</f>
        <v>3973.20271540378</v>
      </c>
    </row>
    <row r="152" customFormat="false" ht="15" hidden="false" customHeight="false" outlineLevel="0" collapsed="false">
      <c r="A152" s="28" t="s">
        <v>890</v>
      </c>
      <c r="B152" s="63" t="s">
        <v>937</v>
      </c>
      <c r="C152" s="64" t="n">
        <f aca="false">P152</f>
        <v>0</v>
      </c>
      <c r="D152" s="64" t="n">
        <f aca="false">AB152</f>
        <v>0</v>
      </c>
      <c r="E152" s="65" t="n">
        <f aca="false">IF(E$5="A",Inputs_Actuals!E106,History!$E$102*(1+Assumptions!$C$130*Assumptions!$F$171))</f>
        <v>0</v>
      </c>
      <c r="F152" s="65" t="n">
        <f aca="false">IF(F$5="A",Inputs_Actuals!F106,E152*(1+Assumptions!$C$130*Assumptions!$F$171))</f>
        <v>0</v>
      </c>
      <c r="G152" s="65" t="n">
        <f aca="false">IF(G$5="A",Inputs_Actuals!G106,F152*(1+Assumptions!$C$130*Assumptions!$F$171))</f>
        <v>0</v>
      </c>
      <c r="H152" s="65" t="n">
        <f aca="false">IF(H$5="A",Inputs_Actuals!H106,G152*(1+Assumptions!$C$130*Assumptions!$F$171))</f>
        <v>0</v>
      </c>
      <c r="I152" s="65" t="n">
        <f aca="false">IF(I$5="A",Inputs_Actuals!I106,H152*(1+Assumptions!$C$130*Assumptions!$F$171))</f>
        <v>0</v>
      </c>
      <c r="J152" s="65" t="n">
        <f aca="false">IF(J$5="A",Inputs_Actuals!J106,I152*(1-Assumptions!$C$122*Assumptions!$F$170)*(1-Assumptions!$C$126*Assumptions!$F$170)*(1+Assumptions!J$199)*(1+Assumptions!$C$128*Assumptions!$F$171))</f>
        <v>0</v>
      </c>
      <c r="K152" s="65" t="n">
        <f aca="false">IF(K$5="A",Inputs_Actuals!K106,J152*(1+Assumptions!$C$130*Assumptions!$F$171))</f>
        <v>0</v>
      </c>
      <c r="L152" s="65" t="n">
        <f aca="false">IF(L$5="A",Inputs_Actuals!L106,K152*(1+Assumptions!$C$130*Assumptions!$F$171))</f>
        <v>0</v>
      </c>
      <c r="M152" s="65" t="n">
        <f aca="false">IF(M$5="A",Inputs_Actuals!M106,L152*(1+Assumptions!$C$130*Assumptions!$F$171))</f>
        <v>0</v>
      </c>
      <c r="N152" s="65" t="n">
        <f aca="false">IF(N$5="A",Inputs_Actuals!N106,M152*(1+Assumptions!$C$130*Assumptions!$F$171))</f>
        <v>0</v>
      </c>
      <c r="O152" s="65" t="n">
        <f aca="false">IF(O$5="A",Inputs_Actuals!O106,N152*(1+Assumptions!$C$130*Assumptions!$F$171))</f>
        <v>0</v>
      </c>
      <c r="P152" s="65" t="n">
        <f aca="false">IF(P$5="A",Inputs_Actuals!P106,O152*(1+Assumptions!$C$130*Assumptions!$F$171))</f>
        <v>0</v>
      </c>
      <c r="Q152" s="65" t="n">
        <f aca="false">IF(Q$5="A",Inputs_Actuals!Q106,P152*(1+Assumptions!$C$130*Assumptions!$F$171))</f>
        <v>0</v>
      </c>
      <c r="R152" s="65" t="n">
        <f aca="false">IF(R$5="A",Inputs_Actuals!R106,Q152*(1+Assumptions!$C$130*Assumptions!$F$171))</f>
        <v>0</v>
      </c>
      <c r="S152" s="65" t="n">
        <f aca="false">IF(S$5="A",Inputs_Actuals!S106,R152*(1+Assumptions!$C$130*Assumptions!$F$171))</f>
        <v>0</v>
      </c>
      <c r="T152" s="65" t="n">
        <f aca="false">IF(T$5="A",Inputs_Actuals!T106,S152*(1+Assumptions!$C$130*Assumptions!$F$171))</f>
        <v>0</v>
      </c>
      <c r="U152" s="65" t="n">
        <f aca="false">IF(U$5="A",Inputs_Actuals!U106,T152*(1+Assumptions!$C$130*Assumptions!$F$171))</f>
        <v>0</v>
      </c>
      <c r="V152" s="65" t="n">
        <f aca="false">IF(V$5="A",Inputs_Actuals!V106,U152*(1-Assumptions!$C$123*Assumptions!$F$170)*(1-Assumptions!$C$127*Assumptions!$F$170)*(1+Assumptions!V$199)*(1+Assumptions!$C$129*Assumptions!$F$171))</f>
        <v>0</v>
      </c>
      <c r="W152" s="65" t="n">
        <f aca="false">IF(W$5="A",Inputs_Actuals!W106,V152*(1+Assumptions!$C$130*Assumptions!$F$171))</f>
        <v>0</v>
      </c>
      <c r="X152" s="65" t="n">
        <f aca="false">IF(X$5="A",Inputs_Actuals!X106,W152*(1+Assumptions!$C$130*Assumptions!$F$171))</f>
        <v>0</v>
      </c>
      <c r="Y152" s="65" t="n">
        <f aca="false">IF(Y$5="A",Inputs_Actuals!Y106,X152*(1+Assumptions!$C$130*Assumptions!$F$171))</f>
        <v>0</v>
      </c>
      <c r="Z152" s="65" t="n">
        <f aca="false">IF(Z$5="A",Inputs_Actuals!Z106,Y152*(1+Assumptions!$C$130*Assumptions!$F$171))</f>
        <v>0</v>
      </c>
      <c r="AA152" s="65" t="n">
        <f aca="false">IF(AA$5="A",Inputs_Actuals!AA106,Z152*(1+Assumptions!$C$130*Assumptions!$F$171))</f>
        <v>0</v>
      </c>
      <c r="AB152" s="65" t="n">
        <f aca="false">IF(AB$5="A",Inputs_Actuals!AB106,AA152*(1+Assumptions!$C$130*Assumptions!$F$171))</f>
        <v>0</v>
      </c>
    </row>
    <row r="153" customFormat="false" ht="15" hidden="false" customHeight="false" outlineLevel="0" collapsed="false">
      <c r="A153" s="28" t="s">
        <v>891</v>
      </c>
      <c r="B153" s="63" t="s">
        <v>937</v>
      </c>
      <c r="C153" s="64" t="n">
        <f aca="false">P153</f>
        <v>4265.1266421185</v>
      </c>
      <c r="D153" s="64" t="n">
        <f aca="false">AB153</f>
        <v>4454.31392497155</v>
      </c>
      <c r="E153" s="65" t="n">
        <f aca="false">IF(E$5="A",Inputs_Actuals!E107,History!$E$103*(1+Assumptions!$C$130*Assumptions!$F$171))</f>
        <v>4722.26</v>
      </c>
      <c r="F153" s="65" t="n">
        <f aca="false">IF(F$5="A",Inputs_Actuals!F107,E153*(1+Assumptions!$C$130*Assumptions!$F$171))</f>
        <v>4733.67</v>
      </c>
      <c r="G153" s="65" t="n">
        <f aca="false">IF(G$5="A",Inputs_Actuals!G107,F153*(1+Assumptions!$C$130*Assumptions!$F$171))</f>
        <v>4736.63</v>
      </c>
      <c r="H153" s="65" t="n">
        <f aca="false">IF(H$5="A",Inputs_Actuals!H107,G153*(1+Assumptions!$C$130*Assumptions!$F$171))</f>
        <v>4755.25</v>
      </c>
      <c r="I153" s="65" t="n">
        <f aca="false">IF(I$5="A",Inputs_Actuals!I107,H153*(1+Assumptions!$C$130*Assumptions!$F$171))</f>
        <v>4784.49</v>
      </c>
      <c r="J153" s="65" t="n">
        <f aca="false">IF(J$5="A",Inputs_Actuals!J107,I153*(1+Assumptions!$C$130*Assumptions!$F$171))</f>
        <v>4841.1</v>
      </c>
      <c r="K153" s="65" t="n">
        <f aca="false">IF(K$5="A",Inputs_Actuals!K107,J153*(1-Assumptions!$C$122*Assumptions!$F$170)*(1-Assumptions!$C$126*Assumptions!$F$170)*(1+Assumptions!K$199)*(1+Assumptions!$C$128*Assumptions!$F$171))</f>
        <v>4145.09</v>
      </c>
      <c r="L153" s="65" t="n">
        <f aca="false">IF(L$5="A",Inputs_Actuals!L107,K153*(1+Assumptions!$C$130*Assumptions!$F$171))</f>
        <v>4172.57</v>
      </c>
      <c r="M153" s="65" t="n">
        <f aca="false">IF(M$5="A",Inputs_Actuals!M107,L153*(1+Assumptions!$C$130*Assumptions!$F$171))</f>
        <v>4195.519135</v>
      </c>
      <c r="N153" s="65" t="n">
        <f aca="false">IF(N$5="A",Inputs_Actuals!N107,M153*(1+Assumptions!$C$130*Assumptions!$F$171))</f>
        <v>4218.5944902425</v>
      </c>
      <c r="O153" s="65" t="n">
        <f aca="false">IF(O$5="A",Inputs_Actuals!O107,N153*(1+Assumptions!$C$130*Assumptions!$F$171))</f>
        <v>4241.79675993883</v>
      </c>
      <c r="P153" s="65" t="n">
        <f aca="false">IF(P$5="A",Inputs_Actuals!P107,O153*(1+Assumptions!$C$130*Assumptions!$F$171))</f>
        <v>4265.1266421185</v>
      </c>
      <c r="Q153" s="65" t="n">
        <f aca="false">IF(Q$5="A",Inputs_Actuals!Q107,P153*(1+Assumptions!$C$130*Assumptions!$F$171))</f>
        <v>4288.58483865015</v>
      </c>
      <c r="R153" s="65" t="n">
        <f aca="false">IF(R$5="A",Inputs_Actuals!R107,Q153*(1+Assumptions!$C$130*Assumptions!$F$171))</f>
        <v>4312.17205526273</v>
      </c>
      <c r="S153" s="65" t="n">
        <f aca="false">IF(S$5="A",Inputs_Actuals!S107,R153*(1+Assumptions!$C$130*Assumptions!$F$171))</f>
        <v>4335.88900156667</v>
      </c>
      <c r="T153" s="65" t="n">
        <f aca="false">IF(T$5="A",Inputs_Actuals!T107,S153*(1+Assumptions!$C$130*Assumptions!$F$171))</f>
        <v>4359.73639107529</v>
      </c>
      <c r="U153" s="65" t="n">
        <f aca="false">IF(U$5="A",Inputs_Actuals!U107,T153*(1+Assumptions!$C$130*Assumptions!$F$171))</f>
        <v>4383.7149412262</v>
      </c>
      <c r="V153" s="65" t="n">
        <f aca="false">IF(V$5="A",Inputs_Actuals!V107,U153*(1+Assumptions!$C$130*Assumptions!$F$171))</f>
        <v>4407.82537340295</v>
      </c>
      <c r="W153" s="65" t="n">
        <f aca="false">IF(W$5="A",Inputs_Actuals!W107,V153*(1-Assumptions!$C$123*Assumptions!$F$170)*(1-Assumptions!$C$127*Assumptions!$F$170)*(1+Assumptions!W$199)*(1+Assumptions!$C$129*Assumptions!$F$171))</f>
        <v>4333.81578147083</v>
      </c>
      <c r="X153" s="65" t="n">
        <f aca="false">IF(X$5="A",Inputs_Actuals!X107,W153*(1+Assumptions!$C$130*Assumptions!$F$171))</f>
        <v>4357.65176826892</v>
      </c>
      <c r="Y153" s="65" t="n">
        <f aca="false">IF(Y$5="A",Inputs_Actuals!Y107,X153*(1+Assumptions!$C$130*Assumptions!$F$171))</f>
        <v>4381.61885299439</v>
      </c>
      <c r="Z153" s="65" t="n">
        <f aca="false">IF(Z$5="A",Inputs_Actuals!Z107,Y153*(1+Assumptions!$C$130*Assumptions!$F$171))</f>
        <v>4405.71775668586</v>
      </c>
      <c r="AA153" s="65" t="n">
        <f aca="false">IF(AA$5="A",Inputs_Actuals!AA107,Z153*(1+Assumptions!$C$130*Assumptions!$F$171))</f>
        <v>4429.94920434764</v>
      </c>
      <c r="AB153" s="65" t="n">
        <f aca="false">IF(AB$5="A",Inputs_Actuals!AB107,AA153*(1+Assumptions!$C$130*Assumptions!$F$171))</f>
        <v>4454.31392497155</v>
      </c>
    </row>
    <row r="154" customFormat="false" ht="15" hidden="false" customHeight="false" outlineLevel="0" collapsed="false">
      <c r="A154" s="28" t="s">
        <v>892</v>
      </c>
      <c r="B154" s="63" t="s">
        <v>937</v>
      </c>
      <c r="C154" s="64" t="n">
        <f aca="false">P154</f>
        <v>2672.31128130223</v>
      </c>
      <c r="D154" s="64" t="n">
        <f aca="false">AB154</f>
        <v>2790.84640409427</v>
      </c>
      <c r="E154" s="65" t="n">
        <f aca="false">IF(E$5="A",Inputs_Actuals!E108,History!$E$104*(1+Assumptions!$C$130*Assumptions!$F$171))</f>
        <v>3981.85</v>
      </c>
      <c r="F154" s="65" t="n">
        <f aca="false">IF(F$5="A",Inputs_Actuals!F108,E154*(1+Assumptions!$C$130*Assumptions!$F$171))</f>
        <v>3989.88</v>
      </c>
      <c r="G154" s="65" t="n">
        <f aca="false">IF(G$5="A",Inputs_Actuals!G108,F154*(1+Assumptions!$C$130*Assumptions!$F$171))</f>
        <v>4008.14</v>
      </c>
      <c r="H154" s="65" t="n">
        <f aca="false">IF(H$5="A",Inputs_Actuals!H108,G154*(1+Assumptions!$C$130*Assumptions!$F$171))</f>
        <v>4031.18</v>
      </c>
      <c r="I154" s="65" t="n">
        <f aca="false">IF(I$5="A",Inputs_Actuals!I108,H154*(1+Assumptions!$C$130*Assumptions!$F$171))</f>
        <v>4038.7</v>
      </c>
      <c r="J154" s="65" t="n">
        <f aca="false">IF(J$5="A",Inputs_Actuals!J108,I154*(1+Assumptions!$C$130*Assumptions!$F$171))</f>
        <v>4070.68</v>
      </c>
      <c r="K154" s="65" t="n">
        <f aca="false">IF(K$5="A",Inputs_Actuals!K108,J154*(1+Assumptions!$C$130*Assumptions!$F$171))</f>
        <v>4092.66</v>
      </c>
      <c r="L154" s="65" t="n">
        <f aca="false">IF(L$5="A",Inputs_Actuals!L108,K154*(1-Assumptions!$C$122*Assumptions!$F$170)*(1-Assumptions!$C$126*Assumptions!$F$170)*(1+Assumptions!L$199)*(1+Assumptions!$C$128*Assumptions!$F$171))</f>
        <v>2614.32</v>
      </c>
      <c r="M154" s="65" t="n">
        <f aca="false">IF(M$5="A",Inputs_Actuals!M108,L154*(1+Assumptions!$C$130*Assumptions!$F$171))</f>
        <v>2628.69876</v>
      </c>
      <c r="N154" s="65" t="n">
        <f aca="false">IF(N$5="A",Inputs_Actuals!N108,M154*(1+Assumptions!$C$130*Assumptions!$F$171))</f>
        <v>2643.15660318</v>
      </c>
      <c r="O154" s="65" t="n">
        <f aca="false">IF(O$5="A",Inputs_Actuals!O108,N154*(1+Assumptions!$C$130*Assumptions!$F$171))</f>
        <v>2657.69396449749</v>
      </c>
      <c r="P154" s="65" t="n">
        <f aca="false">IF(P$5="A",Inputs_Actuals!P108,O154*(1+Assumptions!$C$130*Assumptions!$F$171))</f>
        <v>2672.31128130223</v>
      </c>
      <c r="Q154" s="65" t="n">
        <f aca="false">IF(Q$5="A",Inputs_Actuals!Q108,P154*(1+Assumptions!$C$130*Assumptions!$F$171))</f>
        <v>2687.00899334939</v>
      </c>
      <c r="R154" s="65" t="n">
        <f aca="false">IF(R$5="A",Inputs_Actuals!R108,Q154*(1+Assumptions!$C$130*Assumptions!$F$171))</f>
        <v>2701.78754281281</v>
      </c>
      <c r="S154" s="65" t="n">
        <f aca="false">IF(S$5="A",Inputs_Actuals!S108,R154*(1+Assumptions!$C$130*Assumptions!$F$171))</f>
        <v>2716.64737429828</v>
      </c>
      <c r="T154" s="65" t="n">
        <f aca="false">IF(T$5="A",Inputs_Actuals!T108,S154*(1+Assumptions!$C$130*Assumptions!$F$171))</f>
        <v>2731.58893485692</v>
      </c>
      <c r="U154" s="65" t="n">
        <f aca="false">IF(U$5="A",Inputs_Actuals!U108,T154*(1+Assumptions!$C$130*Assumptions!$F$171))</f>
        <v>2746.61267399864</v>
      </c>
      <c r="V154" s="65" t="n">
        <f aca="false">IF(V$5="A",Inputs_Actuals!V108,U154*(1+Assumptions!$C$130*Assumptions!$F$171))</f>
        <v>2761.71904370563</v>
      </c>
      <c r="W154" s="65" t="n">
        <f aca="false">IF(W$5="A",Inputs_Actuals!W108,V154*(1+Assumptions!$C$130*Assumptions!$F$171))</f>
        <v>2776.90849844601</v>
      </c>
      <c r="X154" s="65" t="n">
        <f aca="false">IF(X$5="A",Inputs_Actuals!X108,W154*(1-Assumptions!$C$123*Assumptions!$F$170)*(1-Assumptions!$C$127*Assumptions!$F$170)*(1+Assumptions!X$199)*(1+Assumptions!$C$129*Assumptions!$F$171))</f>
        <v>2730.28281630285</v>
      </c>
      <c r="Y154" s="65" t="n">
        <f aca="false">IF(Y$5="A",Inputs_Actuals!Y108,X154*(1+Assumptions!$C$130*Assumptions!$F$171))</f>
        <v>2745.29937179252</v>
      </c>
      <c r="Z154" s="65" t="n">
        <f aca="false">IF(Z$5="A",Inputs_Actuals!Z108,Y154*(1+Assumptions!$C$130*Assumptions!$F$171))</f>
        <v>2760.39851833738</v>
      </c>
      <c r="AA154" s="65" t="n">
        <f aca="false">IF(AA$5="A",Inputs_Actuals!AA108,Z154*(1+Assumptions!$C$130*Assumptions!$F$171))</f>
        <v>2775.58071018823</v>
      </c>
      <c r="AB154" s="65" t="n">
        <f aca="false">IF(AB$5="A",Inputs_Actuals!AB108,AA154*(1+Assumptions!$C$130*Assumptions!$F$171))</f>
        <v>2790.84640409427</v>
      </c>
    </row>
    <row r="155" customFormat="false" ht="15" hidden="false" customHeight="false" outlineLevel="0" collapsed="false">
      <c r="A155" s="28" t="s">
        <v>893</v>
      </c>
      <c r="B155" s="63" t="s">
        <v>937</v>
      </c>
      <c r="C155" s="64" t="n">
        <f aca="false">P155</f>
        <v>0</v>
      </c>
      <c r="D155" s="64" t="n">
        <f aca="false">AB155</f>
        <v>0</v>
      </c>
      <c r="E155" s="65" t="n">
        <f aca="false">IF(E$5="A",Inputs_Actuals!E109,History!$E$105*(1+Assumptions!$C$130*Assumptions!$F$171))</f>
        <v>0</v>
      </c>
      <c r="F155" s="65" t="n">
        <f aca="false">IF(F$5="A",Inputs_Actuals!F109,E155*(1+Assumptions!$C$130*Assumptions!$F$171))</f>
        <v>0</v>
      </c>
      <c r="G155" s="65" t="n">
        <f aca="false">IF(G$5="A",Inputs_Actuals!G109,F155*(1+Assumptions!$C$130*Assumptions!$F$171))</f>
        <v>0</v>
      </c>
      <c r="H155" s="65" t="n">
        <f aca="false">IF(H$5="A",Inputs_Actuals!H109,G155*(1+Assumptions!$C$130*Assumptions!$F$171))</f>
        <v>0</v>
      </c>
      <c r="I155" s="65" t="n">
        <f aca="false">IF(I$5="A",Inputs_Actuals!I109,H155*(1+Assumptions!$C$130*Assumptions!$F$171))</f>
        <v>0</v>
      </c>
      <c r="J155" s="65" t="n">
        <f aca="false">IF(J$5="A",Inputs_Actuals!J109,I155*(1+Assumptions!$C$130*Assumptions!$F$171))</f>
        <v>0</v>
      </c>
      <c r="K155" s="65" t="n">
        <f aca="false">IF(K$5="A",Inputs_Actuals!K109,J155*(1+Assumptions!$C$130*Assumptions!$F$171))</f>
        <v>0</v>
      </c>
      <c r="L155" s="65" t="n">
        <f aca="false">IF(L$5="A",Inputs_Actuals!L109,K155*(1+Assumptions!$C$130*Assumptions!$F$171))</f>
        <v>0</v>
      </c>
      <c r="M155" s="65" t="n">
        <f aca="false">IF(M$5="A",Inputs_Actuals!M109,L155*(1-Assumptions!$C$122*Assumptions!$F$170)*(1-Assumptions!$C$126*Assumptions!$F$170)*(1+Assumptions!M$199)*(1+Assumptions!$C$128*Assumptions!$F$171))</f>
        <v>0</v>
      </c>
      <c r="N155" s="65" t="n">
        <f aca="false">IF(N$5="A",Inputs_Actuals!N109,M155*(1+Assumptions!$C$130*Assumptions!$F$171))</f>
        <v>0</v>
      </c>
      <c r="O155" s="65" t="n">
        <f aca="false">IF(O$5="A",Inputs_Actuals!O109,N155*(1+Assumptions!$C$130*Assumptions!$F$171))</f>
        <v>0</v>
      </c>
      <c r="P155" s="65" t="n">
        <f aca="false">IF(P$5="A",Inputs_Actuals!P109,O155*(1+Assumptions!$C$130*Assumptions!$F$171))</f>
        <v>0</v>
      </c>
      <c r="Q155" s="65" t="n">
        <f aca="false">IF(Q$5="A",Inputs_Actuals!Q109,P155*(1+Assumptions!$C$130*Assumptions!$F$171))</f>
        <v>0</v>
      </c>
      <c r="R155" s="65" t="n">
        <f aca="false">IF(R$5="A",Inputs_Actuals!R109,Q155*(1+Assumptions!$C$130*Assumptions!$F$171))</f>
        <v>0</v>
      </c>
      <c r="S155" s="65" t="n">
        <f aca="false">IF(S$5="A",Inputs_Actuals!S109,R155*(1+Assumptions!$C$130*Assumptions!$F$171))</f>
        <v>0</v>
      </c>
      <c r="T155" s="65" t="n">
        <f aca="false">IF(T$5="A",Inputs_Actuals!T109,S155*(1+Assumptions!$C$130*Assumptions!$F$171))</f>
        <v>0</v>
      </c>
      <c r="U155" s="65" t="n">
        <f aca="false">IF(U$5="A",Inputs_Actuals!U109,T155*(1+Assumptions!$C$130*Assumptions!$F$171))</f>
        <v>0</v>
      </c>
      <c r="V155" s="65" t="n">
        <f aca="false">IF(V$5="A",Inputs_Actuals!V109,U155*(1+Assumptions!$C$130*Assumptions!$F$171))</f>
        <v>0</v>
      </c>
      <c r="W155" s="65" t="n">
        <f aca="false">IF(W$5="A",Inputs_Actuals!W109,V155*(1+Assumptions!$C$130*Assumptions!$F$171))</f>
        <v>0</v>
      </c>
      <c r="X155" s="65" t="n">
        <f aca="false">IF(X$5="A",Inputs_Actuals!X109,W155*(1+Assumptions!$C$130*Assumptions!$F$171))</f>
        <v>0</v>
      </c>
      <c r="Y155" s="65" t="n">
        <f aca="false">IF(Y$5="A",Inputs_Actuals!Y109,X155*(1-Assumptions!$C$123*Assumptions!$F$170)*(1-Assumptions!$C$127*Assumptions!$F$170)*(1+Assumptions!Y$199)*(1+Assumptions!$C$129*Assumptions!$F$171))</f>
        <v>0</v>
      </c>
      <c r="Z155" s="65" t="n">
        <f aca="false">IF(Z$5="A",Inputs_Actuals!Z109,Y155*(1+Assumptions!$C$130*Assumptions!$F$171))</f>
        <v>0</v>
      </c>
      <c r="AA155" s="65" t="n">
        <f aca="false">IF(AA$5="A",Inputs_Actuals!AA109,Z155*(1+Assumptions!$C$130*Assumptions!$F$171))</f>
        <v>0</v>
      </c>
      <c r="AB155" s="65" t="n">
        <f aca="false">IF(AB$5="A",Inputs_Actuals!AB109,AA155*(1+Assumptions!$C$130*Assumptions!$F$171))</f>
        <v>0</v>
      </c>
    </row>
    <row r="156" customFormat="false" ht="15" hidden="false" customHeight="false" outlineLevel="0" collapsed="false">
      <c r="A156" s="28" t="s">
        <v>894</v>
      </c>
      <c r="B156" s="63" t="s">
        <v>937</v>
      </c>
      <c r="C156" s="64" t="n">
        <f aca="false">P156</f>
        <v>0</v>
      </c>
      <c r="D156" s="64" t="n">
        <f aca="false">AB156</f>
        <v>0</v>
      </c>
      <c r="E156" s="65" t="n">
        <f aca="false">IF(E$5="A",Inputs_Actuals!E110,History!$E$106*(1+Assumptions!$C$130*Assumptions!$F$171))</f>
        <v>0</v>
      </c>
      <c r="F156" s="65" t="n">
        <f aca="false">IF(F$5="A",Inputs_Actuals!F110,E156*(1+Assumptions!$C$130*Assumptions!$F$171))</f>
        <v>0</v>
      </c>
      <c r="G156" s="65" t="n">
        <f aca="false">IF(G$5="A",Inputs_Actuals!G110,F156*(1+Assumptions!$C$130*Assumptions!$F$171))</f>
        <v>0</v>
      </c>
      <c r="H156" s="65" t="n">
        <f aca="false">IF(H$5="A",Inputs_Actuals!H110,G156*(1+Assumptions!$C$130*Assumptions!$F$171))</f>
        <v>0</v>
      </c>
      <c r="I156" s="65" t="n">
        <f aca="false">IF(I$5="A",Inputs_Actuals!I110,H156*(1+Assumptions!$C$130*Assumptions!$F$171))</f>
        <v>0</v>
      </c>
      <c r="J156" s="65" t="n">
        <f aca="false">IF(J$5="A",Inputs_Actuals!J110,I156*(1+Assumptions!$C$130*Assumptions!$F$171))</f>
        <v>0</v>
      </c>
      <c r="K156" s="65" t="n">
        <f aca="false">IF(K$5="A",Inputs_Actuals!K110,J156*(1+Assumptions!$C$130*Assumptions!$F$171))</f>
        <v>0</v>
      </c>
      <c r="L156" s="65" t="n">
        <f aca="false">IF(L$5="A",Inputs_Actuals!L110,K156*(1+Assumptions!$C$130*Assumptions!$F$171))</f>
        <v>0</v>
      </c>
      <c r="M156" s="65" t="n">
        <f aca="false">IF(M$5="A",Inputs_Actuals!M110,L156*(1+Assumptions!$C$130*Assumptions!$F$171))</f>
        <v>0</v>
      </c>
      <c r="N156" s="65" t="n">
        <f aca="false">IF(N$5="A",Inputs_Actuals!N110,M156*(1-Assumptions!$C$122*Assumptions!$F$170)*(1-Assumptions!$C$126*Assumptions!$F$170)*(1+Assumptions!N$199)*(1+Assumptions!$C$128*Assumptions!$F$171))</f>
        <v>0</v>
      </c>
      <c r="O156" s="65" t="n">
        <f aca="false">IF(O$5="A",Inputs_Actuals!O110,N156*(1+Assumptions!$C$130*Assumptions!$F$171))</f>
        <v>0</v>
      </c>
      <c r="P156" s="65" t="n">
        <f aca="false">IF(P$5="A",Inputs_Actuals!P110,O156*(1+Assumptions!$C$130*Assumptions!$F$171))</f>
        <v>0</v>
      </c>
      <c r="Q156" s="65" t="n">
        <f aca="false">IF(Q$5="A",Inputs_Actuals!Q110,P156*(1+Assumptions!$C$130*Assumptions!$F$171))</f>
        <v>0</v>
      </c>
      <c r="R156" s="65" t="n">
        <f aca="false">IF(R$5="A",Inputs_Actuals!R110,Q156*(1+Assumptions!$C$130*Assumptions!$F$171))</f>
        <v>0</v>
      </c>
      <c r="S156" s="65" t="n">
        <f aca="false">IF(S$5="A",Inputs_Actuals!S110,R156*(1+Assumptions!$C$130*Assumptions!$F$171))</f>
        <v>0</v>
      </c>
      <c r="T156" s="65" t="n">
        <f aca="false">IF(T$5="A",Inputs_Actuals!T110,S156*(1+Assumptions!$C$130*Assumptions!$F$171))</f>
        <v>0</v>
      </c>
      <c r="U156" s="65" t="n">
        <f aca="false">IF(U$5="A",Inputs_Actuals!U110,T156*(1+Assumptions!$C$130*Assumptions!$F$171))</f>
        <v>0</v>
      </c>
      <c r="V156" s="65" t="n">
        <f aca="false">IF(V$5="A",Inputs_Actuals!V110,U156*(1+Assumptions!$C$130*Assumptions!$F$171))</f>
        <v>0</v>
      </c>
      <c r="W156" s="65" t="n">
        <f aca="false">IF(W$5="A",Inputs_Actuals!W110,V156*(1+Assumptions!$C$130*Assumptions!$F$171))</f>
        <v>0</v>
      </c>
      <c r="X156" s="65" t="n">
        <f aca="false">IF(X$5="A",Inputs_Actuals!X110,W156*(1+Assumptions!$C$130*Assumptions!$F$171))</f>
        <v>0</v>
      </c>
      <c r="Y156" s="65" t="n">
        <f aca="false">IF(Y$5="A",Inputs_Actuals!Y110,X156*(1+Assumptions!$C$130*Assumptions!$F$171))</f>
        <v>0</v>
      </c>
      <c r="Z156" s="65" t="n">
        <f aca="false">IF(Z$5="A",Inputs_Actuals!Z110,Y156*(1-Assumptions!$C$123*Assumptions!$F$170)*(1-Assumptions!$C$127*Assumptions!$F$170)*(1+Assumptions!Z$199)*(1+Assumptions!$C$129*Assumptions!$F$171))</f>
        <v>0</v>
      </c>
      <c r="AA156" s="65" t="n">
        <f aca="false">IF(AA$5="A",Inputs_Actuals!AA110,Z156*(1+Assumptions!$C$130*Assumptions!$F$171))</f>
        <v>0</v>
      </c>
      <c r="AB156" s="65" t="n">
        <f aca="false">IF(AB$5="A",Inputs_Actuals!AB110,AA156*(1+Assumptions!$C$130*Assumptions!$F$171))</f>
        <v>0</v>
      </c>
    </row>
    <row r="157" customFormat="false" ht="15" hidden="false" customHeight="false" outlineLevel="0" collapsed="false">
      <c r="A157" s="28" t="s">
        <v>895</v>
      </c>
      <c r="B157" s="63" t="s">
        <v>937</v>
      </c>
      <c r="C157" s="64" t="n">
        <f aca="false">P157</f>
        <v>4240.50609481017</v>
      </c>
      <c r="D157" s="64" t="n">
        <f aca="false">AB157</f>
        <v>4428.60128947019</v>
      </c>
      <c r="E157" s="65" t="n">
        <f aca="false">IF(E$5="A",Inputs_Actuals!E111,History!$E$107*(1+Assumptions!$C$130*Assumptions!$F$171))</f>
        <v>4467.59</v>
      </c>
      <c r="F157" s="65" t="n">
        <f aca="false">IF(F$5="A",Inputs_Actuals!F111,E157*(1+Assumptions!$C$130*Assumptions!$F$171))</f>
        <v>4488.28</v>
      </c>
      <c r="G157" s="65" t="n">
        <f aca="false">IF(G$5="A",Inputs_Actuals!G111,F157*(1+Assumptions!$C$130*Assumptions!$F$171))</f>
        <v>4522.72</v>
      </c>
      <c r="H157" s="65" t="n">
        <f aca="false">IF(H$5="A",Inputs_Actuals!H111,G157*(1+Assumptions!$C$130*Assumptions!$F$171))</f>
        <v>4529.69</v>
      </c>
      <c r="I157" s="65" t="n">
        <f aca="false">IF(I$5="A",Inputs_Actuals!I111,H157*(1+Assumptions!$C$130*Assumptions!$F$171))</f>
        <v>4578.99</v>
      </c>
      <c r="J157" s="65" t="n">
        <f aca="false">IF(J$5="A",Inputs_Actuals!J111,I157*(1+Assumptions!$C$130*Assumptions!$F$171))</f>
        <v>4621.11</v>
      </c>
      <c r="K157" s="65" t="n">
        <f aca="false">IF(K$5="A",Inputs_Actuals!K111,J157*(1+Assumptions!$C$130*Assumptions!$F$171))</f>
        <v>4649.96</v>
      </c>
      <c r="L157" s="65" t="n">
        <f aca="false">IF(L$5="A",Inputs_Actuals!L111,K157*(1+Assumptions!$C$130*Assumptions!$F$171))</f>
        <v>4675.2</v>
      </c>
      <c r="M157" s="65" t="n">
        <f aca="false">IF(M$5="A",Inputs_Actuals!M111,L157*(1+Assumptions!$C$130*Assumptions!$F$171))</f>
        <v>4700.9136</v>
      </c>
      <c r="N157" s="65" t="n">
        <f aca="false">IF(N$5="A",Inputs_Actuals!N111,M157*(1+Assumptions!$C$130*Assumptions!$F$171))</f>
        <v>4726.7686248</v>
      </c>
      <c r="O157" s="65" t="n">
        <f aca="false">IF(O$5="A",Inputs_Actuals!O111,N157*(1-Assumptions!$C$122*Assumptions!$F$170)*(1-Assumptions!$C$126*Assumptions!$F$170)*(1+Assumptions!O$199)*(1+Assumptions!$C$128*Assumptions!$F$171))</f>
        <v>4217.31088494298</v>
      </c>
      <c r="P157" s="65" t="n">
        <f aca="false">IF(P$5="A",Inputs_Actuals!P111,O157*(1+Assumptions!$C$130*Assumptions!$F$171))</f>
        <v>4240.50609481017</v>
      </c>
      <c r="Q157" s="65" t="n">
        <f aca="false">IF(Q$5="A",Inputs_Actuals!Q111,P157*(1+Assumptions!$C$130*Assumptions!$F$171))</f>
        <v>4263.82887833163</v>
      </c>
      <c r="R157" s="65" t="n">
        <f aca="false">IF(R$5="A",Inputs_Actuals!R111,Q157*(1+Assumptions!$C$130*Assumptions!$F$171))</f>
        <v>4287.27993716245</v>
      </c>
      <c r="S157" s="65" t="n">
        <f aca="false">IF(S$5="A",Inputs_Actuals!S111,R157*(1+Assumptions!$C$130*Assumptions!$F$171))</f>
        <v>4310.85997681684</v>
      </c>
      <c r="T157" s="65" t="n">
        <f aca="false">IF(T$5="A",Inputs_Actuals!T111,S157*(1+Assumptions!$C$130*Assumptions!$F$171))</f>
        <v>4334.56970668934</v>
      </c>
      <c r="U157" s="65" t="n">
        <f aca="false">IF(U$5="A",Inputs_Actuals!U111,T157*(1+Assumptions!$C$130*Assumptions!$F$171))</f>
        <v>4358.40984007613</v>
      </c>
      <c r="V157" s="65" t="n">
        <f aca="false">IF(V$5="A",Inputs_Actuals!V111,U157*(1+Assumptions!$C$130*Assumptions!$F$171))</f>
        <v>4382.38109419655</v>
      </c>
      <c r="W157" s="65" t="n">
        <f aca="false">IF(W$5="A",Inputs_Actuals!W111,V157*(1+Assumptions!$C$130*Assumptions!$F$171))</f>
        <v>4406.48419021463</v>
      </c>
      <c r="X157" s="65" t="n">
        <f aca="false">IF(X$5="A",Inputs_Actuals!X111,W157*(1+Assumptions!$C$130*Assumptions!$F$171))</f>
        <v>4430.71985326081</v>
      </c>
      <c r="Y157" s="65" t="n">
        <f aca="false">IF(Y$5="A",Inputs_Actuals!Y111,X157*(1+Assumptions!$C$130*Assumptions!$F$171))</f>
        <v>4455.08881245374</v>
      </c>
      <c r="Z157" s="65" t="n">
        <f aca="false">IF(Z$5="A",Inputs_Actuals!Z111,Y157*(1+Assumptions!$C$130*Assumptions!$F$171))</f>
        <v>4479.59180092224</v>
      </c>
      <c r="AA157" s="65" t="n">
        <f aca="false">IF(AA$5="A",Inputs_Actuals!AA111,Z157*(1-Assumptions!$C$123*Assumptions!$F$170)*(1-Assumptions!$C$127*Assumptions!$F$170)*(1+Assumptions!AA$199)*(1+Assumptions!$C$129*Assumptions!$F$171))</f>
        <v>4404.37721478886</v>
      </c>
      <c r="AB157" s="65" t="n">
        <f aca="false">IF(AB$5="A",Inputs_Actuals!AB111,AA157*(1+Assumptions!$C$130*Assumptions!$F$171))</f>
        <v>4428.60128947019</v>
      </c>
    </row>
    <row r="158" customFormat="false" ht="15" hidden="false" customHeight="false" outlineLevel="0" collapsed="false">
      <c r="A158" s="28" t="s">
        <v>896</v>
      </c>
      <c r="B158" s="63" t="s">
        <v>937</v>
      </c>
      <c r="C158" s="64" t="n">
        <f aca="false">P158</f>
        <v>2786.74138662639</v>
      </c>
      <c r="D158" s="64" t="n">
        <f aca="false">AB158</f>
        <v>2910.35226039124</v>
      </c>
      <c r="E158" s="65" t="n">
        <f aca="false">IF(E$5="A",Inputs_Actuals!E112,History!$E$108*(1+Assumptions!$C$130*Assumptions!$F$171))</f>
        <v>2965.99</v>
      </c>
      <c r="F158" s="65" t="n">
        <f aca="false">IF(F$5="A",Inputs_Actuals!F112,E158*(1+Assumptions!$C$130*Assumptions!$F$171))</f>
        <v>2983.98</v>
      </c>
      <c r="G158" s="65" t="n">
        <f aca="false">IF(G$5="A",Inputs_Actuals!G112,F158*(1+Assumptions!$C$130*Assumptions!$F$171))</f>
        <v>3014.76</v>
      </c>
      <c r="H158" s="65" t="n">
        <f aca="false">IF(H$5="A",Inputs_Actuals!H112,G158*(1+Assumptions!$C$130*Assumptions!$F$171))</f>
        <v>3026.12</v>
      </c>
      <c r="I158" s="65" t="n">
        <f aca="false">IF(I$5="A",Inputs_Actuals!I112,H158*(1+Assumptions!$C$130*Assumptions!$F$171))</f>
        <v>3035.37</v>
      </c>
      <c r="J158" s="65" t="n">
        <f aca="false">IF(J$5="A",Inputs_Actuals!J112,I158*(1+Assumptions!$C$130*Assumptions!$F$171))</f>
        <v>3050.96</v>
      </c>
      <c r="K158" s="65" t="n">
        <f aca="false">IF(K$5="A",Inputs_Actuals!K112,J158*(1+Assumptions!$C$130*Assumptions!$F$171))</f>
        <v>3065.03</v>
      </c>
      <c r="L158" s="65" t="n">
        <f aca="false">IF(L$5="A",Inputs_Actuals!L112,K158*(1+Assumptions!$C$130*Assumptions!$F$171))</f>
        <v>3072.41</v>
      </c>
      <c r="M158" s="65" t="n">
        <f aca="false">IF(M$5="A",Inputs_Actuals!M112,L158*(1+Assumptions!$C$130*Assumptions!$F$171))</f>
        <v>3089.308255</v>
      </c>
      <c r="N158" s="65" t="n">
        <f aca="false">IF(N$5="A",Inputs_Actuals!N112,M158*(1+Assumptions!$C$130*Assumptions!$F$171))</f>
        <v>3106.2994504025</v>
      </c>
      <c r="O158" s="65" t="n">
        <f aca="false">IF(O$5="A",Inputs_Actuals!O112,N158*(1+Assumptions!$C$130*Assumptions!$F$171))</f>
        <v>3123.38409737971</v>
      </c>
      <c r="P158" s="65" t="n">
        <f aca="false">IF(P$5="A",Inputs_Actuals!P112,O158*(1-Assumptions!$C$122*Assumptions!$F$170)*(1-Assumptions!$C$126*Assumptions!$F$170)*(1+Assumptions!P$199)*(1+Assumptions!$C$128*Assumptions!$F$171))</f>
        <v>2786.74138662639</v>
      </c>
      <c r="Q158" s="65" t="n">
        <f aca="false">IF(Q$5="A",Inputs_Actuals!Q112,P158*(1+Assumptions!$C$130*Assumptions!$F$171))</f>
        <v>2802.06846425284</v>
      </c>
      <c r="R158" s="65" t="n">
        <f aca="false">IF(R$5="A",Inputs_Actuals!R112,Q158*(1+Assumptions!$C$130*Assumptions!$F$171))</f>
        <v>2817.47984080623</v>
      </c>
      <c r="S158" s="65" t="n">
        <f aca="false">IF(S$5="A",Inputs_Actuals!S112,R158*(1+Assumptions!$C$130*Assumptions!$F$171))</f>
        <v>2832.97597993066</v>
      </c>
      <c r="T158" s="65" t="n">
        <f aca="false">IF(T$5="A",Inputs_Actuals!T112,S158*(1+Assumptions!$C$130*Assumptions!$F$171))</f>
        <v>2848.55734782028</v>
      </c>
      <c r="U158" s="65" t="n">
        <f aca="false">IF(U$5="A",Inputs_Actuals!U112,T158*(1+Assumptions!$C$130*Assumptions!$F$171))</f>
        <v>2864.22441323329</v>
      </c>
      <c r="V158" s="65" t="n">
        <f aca="false">IF(V$5="A",Inputs_Actuals!V112,U158*(1+Assumptions!$C$130*Assumptions!$F$171))</f>
        <v>2879.97764750608</v>
      </c>
      <c r="W158" s="65" t="n">
        <f aca="false">IF(W$5="A",Inputs_Actuals!W112,V158*(1+Assumptions!$C$130*Assumptions!$F$171))</f>
        <v>2895.81752456736</v>
      </c>
      <c r="X158" s="65" t="n">
        <f aca="false">IF(X$5="A",Inputs_Actuals!X112,W158*(1+Assumptions!$C$130*Assumptions!$F$171))</f>
        <v>2911.74452095248</v>
      </c>
      <c r="Y158" s="65" t="n">
        <f aca="false">IF(Y$5="A",Inputs_Actuals!Y112,X158*(1+Assumptions!$C$130*Assumptions!$F$171))</f>
        <v>2927.75911581772</v>
      </c>
      <c r="Z158" s="65" t="n">
        <f aca="false">IF(Z$5="A",Inputs_Actuals!Z112,Y158*(1+Assumptions!$C$130*Assumptions!$F$171))</f>
        <v>2943.86179095472</v>
      </c>
      <c r="AA158" s="65" t="n">
        <f aca="false">IF(AA$5="A",Inputs_Actuals!AA112,Z158*(1+Assumptions!$C$130*Assumptions!$F$171))</f>
        <v>2960.05303080497</v>
      </c>
      <c r="AB158" s="65" t="n">
        <f aca="false">IF(AB$5="A",Inputs_Actuals!AB112,AA158*(1-Assumptions!$C$123*Assumptions!$F$170)*(1-Assumptions!$C$127*Assumptions!$F$170)*(1+Assumptions!AB$199)*(1+Assumptions!$C$129*Assumptions!$F$171))</f>
        <v>2910.35226039124</v>
      </c>
    </row>
    <row r="159" customFormat="false" ht="15" hidden="false" customHeight="false" outlineLevel="0" collapsed="false">
      <c r="A159" s="28" t="s">
        <v>897</v>
      </c>
      <c r="B159" s="63" t="s">
        <v>937</v>
      </c>
      <c r="C159" s="64" t="n">
        <f aca="false">P159</f>
        <v>8955.77749829392</v>
      </c>
      <c r="D159" s="64" t="n">
        <f aca="false">AB159</f>
        <v>8487.45319196554</v>
      </c>
      <c r="E159" s="65" t="n">
        <f aca="false">IF(E$5="A",Inputs_Actuals!E113,New_Business!E15)</f>
        <v>8477.35</v>
      </c>
      <c r="F159" s="65" t="n">
        <f aca="false">IF(F$5="A",Inputs_Actuals!F113,E159*(1+Assumptions!$C$130*Assumptions!$F$171))</f>
        <v>8505.2</v>
      </c>
      <c r="G159" s="65" t="n">
        <f aca="false">IF(G$5="A",Inputs_Actuals!G113,F159*(1+Assumptions!$C$130*Assumptions!$F$171))</f>
        <v>8561.95</v>
      </c>
      <c r="H159" s="65" t="n">
        <f aca="false">IF(H$5="A",Inputs_Actuals!H113,G159*(1+Assumptions!$C$130*Assumptions!$F$171))</f>
        <v>8616.58</v>
      </c>
      <c r="I159" s="65" t="n">
        <f aca="false">IF(I$5="A",Inputs_Actuals!I113,H159*(1+Assumptions!$C$130*Assumptions!$F$171))</f>
        <v>8648.5</v>
      </c>
      <c r="J159" s="65" t="n">
        <f aca="false">IF(J$5="A",Inputs_Actuals!J113,I159*(1+Assumptions!$C$130*Assumptions!$F$171))</f>
        <v>8691.55</v>
      </c>
      <c r="K159" s="65" t="n">
        <f aca="false">IF(K$5="A",Inputs_Actuals!K113,J159*(1+Assumptions!$C$130*Assumptions!$F$171))</f>
        <v>8725.23</v>
      </c>
      <c r="L159" s="65" t="n">
        <f aca="false">IF(L$5="A",Inputs_Actuals!L113,K159*(1+Assumptions!$C$130*Assumptions!$F$171))</f>
        <v>8761.43</v>
      </c>
      <c r="M159" s="65" t="n">
        <f aca="false">IF(M$5="A",Inputs_Actuals!M113,L159*(1+Assumptions!$C$130*Assumptions!$F$171))</f>
        <v>8809.617865</v>
      </c>
      <c r="N159" s="65" t="n">
        <f aca="false">IF(N$5="A",Inputs_Actuals!N113,M159*(1+Assumptions!$C$130*Assumptions!$F$171))</f>
        <v>8858.0707632575</v>
      </c>
      <c r="O159" s="65" t="n">
        <f aca="false">IF(O$5="A",Inputs_Actuals!O113,N159*(1+Assumptions!$C$130*Assumptions!$F$171))</f>
        <v>8906.79015245542</v>
      </c>
      <c r="P159" s="65" t="n">
        <f aca="false">IF(P$5="A",Inputs_Actuals!P113,O159*(1+Assumptions!$C$130*Assumptions!$F$171))</f>
        <v>8955.77749829392</v>
      </c>
      <c r="Q159" s="65" t="n">
        <f aca="false">IF(Q$5="A",Inputs_Actuals!Q113,P159*(1-Assumptions!$C$122*Assumptions!$F$170)*(1-Assumptions!$C$126*Assumptions!$F$170)*(1+Assumptions!Q$199)*(1+Assumptions!$C$128*Assumptions!$F$171))</f>
        <v>7990.51126143931</v>
      </c>
      <c r="R159" s="65" t="n">
        <f aca="false">IF(R$5="A",Inputs_Actuals!R113,Q159*(1+Assumptions!$C$130*Assumptions!$F$171))</f>
        <v>8034.45907337722</v>
      </c>
      <c r="S159" s="65" t="n">
        <f aca="false">IF(S$5="A",Inputs_Actuals!S113,R159*(1+Assumptions!$C$130*Assumptions!$F$171))</f>
        <v>8078.6485982808</v>
      </c>
      <c r="T159" s="65" t="n">
        <f aca="false">IF(T$5="A",Inputs_Actuals!T113,S159*(1+Assumptions!$C$130*Assumptions!$F$171))</f>
        <v>8123.08116557134</v>
      </c>
      <c r="U159" s="65" t="n">
        <f aca="false">IF(U$5="A",Inputs_Actuals!U113,T159*(1+Assumptions!$C$130*Assumptions!$F$171))</f>
        <v>8167.75811198199</v>
      </c>
      <c r="V159" s="65" t="n">
        <f aca="false">IF(V$5="A",Inputs_Actuals!V113,U159*(1+Assumptions!$C$130*Assumptions!$F$171))</f>
        <v>8212.68078159789</v>
      </c>
      <c r="W159" s="65" t="n">
        <f aca="false">IF(W$5="A",Inputs_Actuals!W113,V159*(1+Assumptions!$C$130*Assumptions!$F$171))</f>
        <v>8257.85052589668</v>
      </c>
      <c r="X159" s="65" t="n">
        <f aca="false">IF(X$5="A",Inputs_Actuals!X113,W159*(1+Assumptions!$C$130*Assumptions!$F$171))</f>
        <v>8303.26870378911</v>
      </c>
      <c r="Y159" s="65" t="n">
        <f aca="false">IF(Y$5="A",Inputs_Actuals!Y113,X159*(1+Assumptions!$C$130*Assumptions!$F$171))</f>
        <v>8348.93668165995</v>
      </c>
      <c r="Z159" s="65" t="n">
        <f aca="false">IF(Z$5="A",Inputs_Actuals!Z113,Y159*(1+Assumptions!$C$130*Assumptions!$F$171))</f>
        <v>8394.85583340908</v>
      </c>
      <c r="AA159" s="65" t="n">
        <f aca="false">IF(AA$5="A",Inputs_Actuals!AA113,Z159*(1+Assumptions!$C$130*Assumptions!$F$171))</f>
        <v>8441.02754049283</v>
      </c>
      <c r="AB159" s="65" t="n">
        <f aca="false">IF(AB$5="A",Inputs_Actuals!AB113,AA159*(1+Assumptions!$C$130*Assumptions!$F$171))</f>
        <v>8487.45319196554</v>
      </c>
    </row>
    <row r="160" customFormat="false" ht="15" hidden="false" customHeight="false" outlineLevel="0" collapsed="false">
      <c r="A160" s="28" t="s">
        <v>898</v>
      </c>
      <c r="B160" s="63" t="s">
        <v>937</v>
      </c>
      <c r="C160" s="64" t="n">
        <f aca="false">P160</f>
        <v>4359.48427790027</v>
      </c>
      <c r="D160" s="64" t="n">
        <f aca="false">AB160</f>
        <v>4131.51384755114</v>
      </c>
      <c r="E160" s="74" t="n">
        <f aca="false">0</f>
        <v>0</v>
      </c>
      <c r="F160" s="65" t="n">
        <f aca="false">IF(F$5="A",Inputs_Actuals!F114,New_Business!F15)</f>
        <v>4061.87</v>
      </c>
      <c r="G160" s="65" t="n">
        <f aca="false">IF(G$5="A",Inputs_Actuals!G114,F160*(1+Assumptions!$C$130*Assumptions!$F$171))</f>
        <v>4076.56</v>
      </c>
      <c r="H160" s="65" t="n">
        <f aca="false">IF(H$5="A",Inputs_Actuals!H114,G160*(1+Assumptions!$C$130*Assumptions!$F$171))</f>
        <v>4100.06</v>
      </c>
      <c r="I160" s="65" t="n">
        <f aca="false">IF(I$5="A",Inputs_Actuals!I114,H160*(1+Assumptions!$C$130*Assumptions!$F$171))</f>
        <v>4155.41</v>
      </c>
      <c r="J160" s="65" t="n">
        <f aca="false">IF(J$5="A",Inputs_Actuals!J114,I160*(1+Assumptions!$C$130*Assumptions!$F$171))</f>
        <v>4199.73</v>
      </c>
      <c r="K160" s="65" t="n">
        <f aca="false">IF(K$5="A",Inputs_Actuals!K114,J160*(1+Assumptions!$C$130*Assumptions!$F$171))</f>
        <v>4228.95</v>
      </c>
      <c r="L160" s="65" t="n">
        <f aca="false">IF(L$5="A",Inputs_Actuals!L114,K160*(1+Assumptions!$C$130*Assumptions!$F$171))</f>
        <v>4264.88</v>
      </c>
      <c r="M160" s="65" t="n">
        <f aca="false">IF(M$5="A",Inputs_Actuals!M114,L160*(1+Assumptions!$C$130*Assumptions!$F$171))</f>
        <v>4288.33684</v>
      </c>
      <c r="N160" s="65" t="n">
        <f aca="false">IF(N$5="A",Inputs_Actuals!N114,M160*(1+Assumptions!$C$130*Assumptions!$F$171))</f>
        <v>4311.92269262</v>
      </c>
      <c r="O160" s="65" t="n">
        <f aca="false">IF(O$5="A",Inputs_Actuals!O114,N160*(1+Assumptions!$C$130*Assumptions!$F$171))</f>
        <v>4335.63826742941</v>
      </c>
      <c r="P160" s="65" t="n">
        <f aca="false">IF(P$5="A",Inputs_Actuals!P114,O160*(1+Assumptions!$C$130*Assumptions!$F$171))</f>
        <v>4359.48427790027</v>
      </c>
      <c r="Q160" s="65" t="n">
        <f aca="false">IF(Q$5="A",Inputs_Actuals!Q114,P160*(1+Assumptions!$C$130*Assumptions!$F$171))</f>
        <v>4383.46144142872</v>
      </c>
      <c r="R160" s="65" t="n">
        <f aca="false">IF(R$5="A",Inputs_Actuals!R114,Q160*(1-Assumptions!$C$122*Assumptions!$F$170)*(1-Assumptions!$C$126*Assumptions!$F$170)*(1+Assumptions!R$199)*(1+Assumptions!$C$128*Assumptions!$F$171))</f>
        <v>3911.00583042552</v>
      </c>
      <c r="S160" s="65" t="n">
        <f aca="false">IF(S$5="A",Inputs_Actuals!S114,R160*(1+Assumptions!$C$130*Assumptions!$F$171))</f>
        <v>3932.51636249286</v>
      </c>
      <c r="T160" s="65" t="n">
        <f aca="false">IF(T$5="A",Inputs_Actuals!T114,S160*(1+Assumptions!$C$130*Assumptions!$F$171))</f>
        <v>3954.14520248657</v>
      </c>
      <c r="U160" s="65" t="n">
        <f aca="false">IF(U$5="A",Inputs_Actuals!U114,T160*(1+Assumptions!$C$130*Assumptions!$F$171))</f>
        <v>3975.89300110025</v>
      </c>
      <c r="V160" s="65" t="n">
        <f aca="false">IF(V$5="A",Inputs_Actuals!V114,U160*(1+Assumptions!$C$130*Assumptions!$F$171))</f>
        <v>3997.7604126063</v>
      </c>
      <c r="W160" s="65" t="n">
        <f aca="false">IF(W$5="A",Inputs_Actuals!W114,V160*(1+Assumptions!$C$130*Assumptions!$F$171))</f>
        <v>4019.74809487563</v>
      </c>
      <c r="X160" s="65" t="n">
        <f aca="false">IF(X$5="A",Inputs_Actuals!X114,W160*(1+Assumptions!$C$130*Assumptions!$F$171))</f>
        <v>4041.85670939745</v>
      </c>
      <c r="Y160" s="65" t="n">
        <f aca="false">IF(Y$5="A",Inputs_Actuals!Y114,X160*(1+Assumptions!$C$130*Assumptions!$F$171))</f>
        <v>4064.08692129914</v>
      </c>
      <c r="Z160" s="65" t="n">
        <f aca="false">IF(Z$5="A",Inputs_Actuals!Z114,Y160*(1+Assumptions!$C$130*Assumptions!$F$171))</f>
        <v>4086.43939936628</v>
      </c>
      <c r="AA160" s="65" t="n">
        <f aca="false">IF(AA$5="A",Inputs_Actuals!AA114,Z160*(1+Assumptions!$C$130*Assumptions!$F$171))</f>
        <v>4108.9148160628</v>
      </c>
      <c r="AB160" s="65" t="n">
        <f aca="false">IF(AB$5="A",Inputs_Actuals!AB114,AA160*(1+Assumptions!$C$130*Assumptions!$F$171))</f>
        <v>4131.51384755114</v>
      </c>
    </row>
    <row r="161" customFormat="false" ht="15" hidden="false" customHeight="false" outlineLevel="0" collapsed="false">
      <c r="A161" s="28" t="s">
        <v>899</v>
      </c>
      <c r="B161" s="63" t="s">
        <v>937</v>
      </c>
      <c r="C161" s="64" t="n">
        <f aca="false">P161</f>
        <v>7376.13806560274</v>
      </c>
      <c r="D161" s="64" t="n">
        <f aca="false">AB161</f>
        <v>6990.41781477987</v>
      </c>
      <c r="E161" s="74" t="n">
        <f aca="false">0</f>
        <v>0</v>
      </c>
      <c r="F161" s="74" t="n">
        <f aca="false">0</f>
        <v>0</v>
      </c>
      <c r="G161" s="65" t="n">
        <f aca="false">IF(G$5="A",Inputs_Actuals!G115,New_Business!G15)</f>
        <v>7032.4</v>
      </c>
      <c r="H161" s="65" t="n">
        <f aca="false">IF(H$5="A",Inputs_Actuals!H115,G161*(1+Assumptions!$C$130*Assumptions!$F$171))</f>
        <v>7067.38</v>
      </c>
      <c r="I161" s="65" t="n">
        <f aca="false">IF(I$5="A",Inputs_Actuals!I115,H161*(1+Assumptions!$C$130*Assumptions!$F$171))</f>
        <v>7108.72</v>
      </c>
      <c r="J161" s="65" t="n">
        <f aca="false">IF(J$5="A",Inputs_Actuals!J115,I161*(1+Assumptions!$C$130*Assumptions!$F$171))</f>
        <v>7131.6</v>
      </c>
      <c r="K161" s="65" t="n">
        <f aca="false">IF(K$5="A",Inputs_Actuals!K115,J161*(1+Assumptions!$C$130*Assumptions!$F$171))</f>
        <v>7169.42</v>
      </c>
      <c r="L161" s="65" t="n">
        <f aca="false">IF(L$5="A",Inputs_Actuals!L115,K161*(1+Assumptions!$C$130*Assumptions!$F$171))</f>
        <v>7216.07</v>
      </c>
      <c r="M161" s="65" t="n">
        <f aca="false">IF(M$5="A",Inputs_Actuals!M115,L161*(1+Assumptions!$C$130*Assumptions!$F$171))</f>
        <v>7255.758385</v>
      </c>
      <c r="N161" s="65" t="n">
        <f aca="false">IF(N$5="A",Inputs_Actuals!N115,M161*(1+Assumptions!$C$130*Assumptions!$F$171))</f>
        <v>7295.6650561175</v>
      </c>
      <c r="O161" s="65" t="n">
        <f aca="false">IF(O$5="A",Inputs_Actuals!O115,N161*(1+Assumptions!$C$130*Assumptions!$F$171))</f>
        <v>7335.79121392615</v>
      </c>
      <c r="P161" s="65" t="n">
        <f aca="false">IF(P$5="A",Inputs_Actuals!P115,O161*(1+Assumptions!$C$130*Assumptions!$F$171))</f>
        <v>7376.13806560274</v>
      </c>
      <c r="Q161" s="65" t="n">
        <f aca="false">IF(Q$5="A",Inputs_Actuals!Q115,P161*(1+Assumptions!$C$130*Assumptions!$F$171))</f>
        <v>7416.70682496356</v>
      </c>
      <c r="R161" s="65" t="n">
        <f aca="false">IF(R$5="A",Inputs_Actuals!R115,Q161*(1+Assumptions!$C$130*Assumptions!$F$171))</f>
        <v>7457.49871250086</v>
      </c>
      <c r="S161" s="65" t="n">
        <f aca="false">IF(S$5="A",Inputs_Actuals!S115,R161*(1-Assumptions!$C$122*Assumptions!$F$170)*(1-Assumptions!$C$126*Assumptions!$F$170)*(1+Assumptions!S$199)*(1+Assumptions!$C$128*Assumptions!$F$171))</f>
        <v>6653.71906076932</v>
      </c>
      <c r="T161" s="65" t="n">
        <f aca="false">IF(T$5="A",Inputs_Actuals!T115,S161*(1+Assumptions!$C$130*Assumptions!$F$171))</f>
        <v>6690.31451560355</v>
      </c>
      <c r="U161" s="65" t="n">
        <f aca="false">IF(U$5="A",Inputs_Actuals!U115,T161*(1+Assumptions!$C$130*Assumptions!$F$171))</f>
        <v>6727.11124543937</v>
      </c>
      <c r="V161" s="65" t="n">
        <f aca="false">IF(V$5="A",Inputs_Actuals!V115,U161*(1+Assumptions!$C$130*Assumptions!$F$171))</f>
        <v>6764.11035728929</v>
      </c>
      <c r="W161" s="65" t="n">
        <f aca="false">IF(W$5="A",Inputs_Actuals!W115,V161*(1+Assumptions!$C$130*Assumptions!$F$171))</f>
        <v>6801.31296425438</v>
      </c>
      <c r="X161" s="65" t="n">
        <f aca="false">IF(X$5="A",Inputs_Actuals!X115,W161*(1+Assumptions!$C$130*Assumptions!$F$171))</f>
        <v>6838.72018555778</v>
      </c>
      <c r="Y161" s="65" t="n">
        <f aca="false">IF(Y$5="A",Inputs_Actuals!Y115,X161*(1+Assumptions!$C$130*Assumptions!$F$171))</f>
        <v>6876.33314657834</v>
      </c>
      <c r="Z161" s="65" t="n">
        <f aca="false">IF(Z$5="A",Inputs_Actuals!Z115,Y161*(1+Assumptions!$C$130*Assumptions!$F$171))</f>
        <v>6914.15297888453</v>
      </c>
      <c r="AA161" s="65" t="n">
        <f aca="false">IF(AA$5="A",Inputs_Actuals!AA115,Z161*(1+Assumptions!$C$130*Assumptions!$F$171))</f>
        <v>6952.18082026839</v>
      </c>
      <c r="AB161" s="65" t="n">
        <f aca="false">IF(AB$5="A",Inputs_Actuals!AB115,AA161*(1+Assumptions!$C$130*Assumptions!$F$171))</f>
        <v>6990.41781477987</v>
      </c>
    </row>
    <row r="162" customFormat="false" ht="15" hidden="false" customHeight="false" outlineLevel="0" collapsed="false">
      <c r="A162" s="28" t="s">
        <v>900</v>
      </c>
      <c r="B162" s="63" t="s">
        <v>937</v>
      </c>
      <c r="C162" s="64" t="n">
        <f aca="false">P162</f>
        <v>4810.59371158257</v>
      </c>
      <c r="D162" s="64" t="n">
        <f aca="false">AB162</f>
        <v>4559.03342399908</v>
      </c>
      <c r="E162" s="74" t="n">
        <f aca="false">0</f>
        <v>0</v>
      </c>
      <c r="F162" s="74" t="n">
        <f aca="false">0</f>
        <v>0</v>
      </c>
      <c r="G162" s="74" t="n">
        <f aca="false">0</f>
        <v>0</v>
      </c>
      <c r="H162" s="65" t="n">
        <f aca="false">IF(H$5="A",Inputs_Actuals!H116,New_Business!H15)</f>
        <v>4612.09</v>
      </c>
      <c r="I162" s="65" t="n">
        <f aca="false">IF(I$5="A",Inputs_Actuals!I116,H162*(1+Assumptions!$C$130*Assumptions!$F$171))</f>
        <v>4619.11</v>
      </c>
      <c r="J162" s="65" t="n">
        <f aca="false">IF(J$5="A",Inputs_Actuals!J116,I162*(1+Assumptions!$C$130*Assumptions!$F$171))</f>
        <v>4660.28</v>
      </c>
      <c r="K162" s="65" t="n">
        <f aca="false">IF(K$5="A",Inputs_Actuals!K116,J162*(1+Assumptions!$C$130*Assumptions!$F$171))</f>
        <v>4675.29</v>
      </c>
      <c r="L162" s="65" t="n">
        <f aca="false">IF(L$5="A",Inputs_Actuals!L116,K162*(1+Assumptions!$C$130*Assumptions!$F$171))</f>
        <v>4706.2</v>
      </c>
      <c r="M162" s="65" t="n">
        <f aca="false">IF(M$5="A",Inputs_Actuals!M116,L162*(1+Assumptions!$C$130*Assumptions!$F$171))</f>
        <v>4732.0841</v>
      </c>
      <c r="N162" s="65" t="n">
        <f aca="false">IF(N$5="A",Inputs_Actuals!N116,M162*(1+Assumptions!$C$130*Assumptions!$F$171))</f>
        <v>4758.11056255</v>
      </c>
      <c r="O162" s="65" t="n">
        <f aca="false">IF(O$5="A",Inputs_Actuals!O116,N162*(1+Assumptions!$C$130*Assumptions!$F$171))</f>
        <v>4784.28017064403</v>
      </c>
      <c r="P162" s="65" t="n">
        <f aca="false">IF(P$5="A",Inputs_Actuals!P116,O162*(1+Assumptions!$C$130*Assumptions!$F$171))</f>
        <v>4810.59371158257</v>
      </c>
      <c r="Q162" s="65" t="n">
        <f aca="false">IF(Q$5="A",Inputs_Actuals!Q116,P162*(1+Assumptions!$C$130*Assumptions!$F$171))</f>
        <v>4837.05197699627</v>
      </c>
      <c r="R162" s="65" t="n">
        <f aca="false">IF(R$5="A",Inputs_Actuals!R116,Q162*(1+Assumptions!$C$130*Assumptions!$F$171))</f>
        <v>4863.65576286975</v>
      </c>
      <c r="S162" s="65" t="n">
        <f aca="false">IF(S$5="A",Inputs_Actuals!S116,R162*(1+Assumptions!$C$130*Assumptions!$F$171))</f>
        <v>4890.40586956554</v>
      </c>
      <c r="T162" s="65" t="n">
        <f aca="false">IF(T$5="A",Inputs_Actuals!T116,S162*(1-Assumptions!$C$122*Assumptions!$F$170)*(1-Assumptions!$C$126*Assumptions!$F$170)*(1+Assumptions!T$199)*(1+Assumptions!$C$128*Assumptions!$F$171))</f>
        <v>4363.31107837555</v>
      </c>
      <c r="U162" s="65" t="n">
        <f aca="false">IF(U$5="A",Inputs_Actuals!U116,T162*(1+Assumptions!$C$130*Assumptions!$F$171))</f>
        <v>4387.30928930661</v>
      </c>
      <c r="V162" s="65" t="n">
        <f aca="false">IF(V$5="A",Inputs_Actuals!V116,U162*(1+Assumptions!$C$130*Assumptions!$F$171))</f>
        <v>4411.4394903978</v>
      </c>
      <c r="W162" s="65" t="n">
        <f aca="false">IF(W$5="A",Inputs_Actuals!W116,V162*(1+Assumptions!$C$130*Assumptions!$F$171))</f>
        <v>4435.70240759499</v>
      </c>
      <c r="X162" s="65" t="n">
        <f aca="false">IF(X$5="A",Inputs_Actuals!X116,W162*(1+Assumptions!$C$130*Assumptions!$F$171))</f>
        <v>4460.09877083676</v>
      </c>
      <c r="Y162" s="65" t="n">
        <f aca="false">IF(Y$5="A",Inputs_Actuals!Y116,X162*(1+Assumptions!$C$130*Assumptions!$F$171))</f>
        <v>4484.62931407636</v>
      </c>
      <c r="Z162" s="65" t="n">
        <f aca="false">IF(Z$5="A",Inputs_Actuals!Z116,Y162*(1+Assumptions!$C$130*Assumptions!$F$171))</f>
        <v>4509.29477530378</v>
      </c>
      <c r="AA162" s="65" t="n">
        <f aca="false">IF(AA$5="A",Inputs_Actuals!AA116,Z162*(1+Assumptions!$C$130*Assumptions!$F$171))</f>
        <v>4534.09589656795</v>
      </c>
      <c r="AB162" s="65" t="n">
        <f aca="false">IF(AB$5="A",Inputs_Actuals!AB116,AA162*(1+Assumptions!$C$130*Assumptions!$F$171))</f>
        <v>4559.03342399908</v>
      </c>
    </row>
    <row r="163" customFormat="false" ht="15" hidden="false" customHeight="false" outlineLevel="0" collapsed="false">
      <c r="A163" s="28" t="s">
        <v>901</v>
      </c>
      <c r="B163" s="63" t="s">
        <v>937</v>
      </c>
      <c r="C163" s="64" t="n">
        <f aca="false">P163</f>
        <v>3058.9005766404</v>
      </c>
      <c r="D163" s="64" t="n">
        <f aca="false">AB163</f>
        <v>2898.94154561764</v>
      </c>
      <c r="E163" s="74" t="n">
        <f aca="false">0</f>
        <v>0</v>
      </c>
      <c r="F163" s="74" t="n">
        <f aca="false">0</f>
        <v>0</v>
      </c>
      <c r="G163" s="74" t="n">
        <f aca="false">0</f>
        <v>0</v>
      </c>
      <c r="H163" s="74" t="n">
        <f aca="false">0</f>
        <v>0</v>
      </c>
      <c r="I163" s="65" t="n">
        <f aca="false">IF(I$5="A",Inputs_Actuals!I117,New_Business!I15)</f>
        <v>2930.04</v>
      </c>
      <c r="J163" s="65" t="n">
        <f aca="false">IF(J$5="A",Inputs_Actuals!J117,I163*(1+Assumptions!$C$130*Assumptions!$F$171))</f>
        <v>2942.05</v>
      </c>
      <c r="K163" s="65" t="n">
        <f aca="false">IF(K$5="A",Inputs_Actuals!K117,J163*(1+Assumptions!$C$130*Assumptions!$F$171))</f>
        <v>2970.86</v>
      </c>
      <c r="L163" s="65" t="n">
        <f aca="false">IF(L$5="A",Inputs_Actuals!L117,K163*(1+Assumptions!$C$130*Assumptions!$F$171))</f>
        <v>2992.52</v>
      </c>
      <c r="M163" s="65" t="n">
        <f aca="false">IF(M$5="A",Inputs_Actuals!M117,L163*(1+Assumptions!$C$130*Assumptions!$F$171))</f>
        <v>3008.97886</v>
      </c>
      <c r="N163" s="65" t="n">
        <f aca="false">IF(N$5="A",Inputs_Actuals!N117,M163*(1+Assumptions!$C$130*Assumptions!$F$171))</f>
        <v>3025.52824373</v>
      </c>
      <c r="O163" s="65" t="n">
        <f aca="false">IF(O$5="A",Inputs_Actuals!O117,N163*(1+Assumptions!$C$130*Assumptions!$F$171))</f>
        <v>3042.16864907052</v>
      </c>
      <c r="P163" s="65" t="n">
        <f aca="false">IF(P$5="A",Inputs_Actuals!P117,O163*(1+Assumptions!$C$130*Assumptions!$F$171))</f>
        <v>3058.9005766404</v>
      </c>
      <c r="Q163" s="65" t="n">
        <f aca="false">IF(Q$5="A",Inputs_Actuals!Q117,P163*(1+Assumptions!$C$130*Assumptions!$F$171))</f>
        <v>3075.72452981193</v>
      </c>
      <c r="R163" s="65" t="n">
        <f aca="false">IF(R$5="A",Inputs_Actuals!R117,Q163*(1+Assumptions!$C$130*Assumptions!$F$171))</f>
        <v>3092.64101472589</v>
      </c>
      <c r="S163" s="65" t="n">
        <f aca="false">IF(S$5="A",Inputs_Actuals!S117,R163*(1+Assumptions!$C$130*Assumptions!$F$171))</f>
        <v>3109.65054030688</v>
      </c>
      <c r="T163" s="65" t="n">
        <f aca="false">IF(T$5="A",Inputs_Actuals!T117,S163*(1+Assumptions!$C$130*Assumptions!$F$171))</f>
        <v>3126.75361827857</v>
      </c>
      <c r="U163" s="65" t="n">
        <f aca="false">IF(U$5="A",Inputs_Actuals!U117,T163*(1-Assumptions!$C$122*Assumptions!$F$170)*(1-Assumptions!$C$126*Assumptions!$F$170)*(1+Assumptions!U$199)*(1+Assumptions!$C$128*Assumptions!$F$171))</f>
        <v>2789.74773584544</v>
      </c>
      <c r="V163" s="65" t="n">
        <f aca="false">IF(V$5="A",Inputs_Actuals!V117,U163*(1+Assumptions!$C$130*Assumptions!$F$171))</f>
        <v>2805.09134839259</v>
      </c>
      <c r="W163" s="65" t="n">
        <f aca="false">IF(W$5="A",Inputs_Actuals!W117,V163*(1+Assumptions!$C$130*Assumptions!$F$171))</f>
        <v>2820.51935080875</v>
      </c>
      <c r="X163" s="65" t="n">
        <f aca="false">IF(X$5="A",Inputs_Actuals!X117,W163*(1+Assumptions!$C$130*Assumptions!$F$171))</f>
        <v>2836.0322072382</v>
      </c>
      <c r="Y163" s="65" t="n">
        <f aca="false">IF(Y$5="A",Inputs_Actuals!Y117,X163*(1+Assumptions!$C$130*Assumptions!$F$171))</f>
        <v>2851.63038437801</v>
      </c>
      <c r="Z163" s="65" t="n">
        <f aca="false">IF(Z$5="A",Inputs_Actuals!Z117,Y163*(1+Assumptions!$C$130*Assumptions!$F$171))</f>
        <v>2867.31435149209</v>
      </c>
      <c r="AA163" s="65" t="n">
        <f aca="false">IF(AA$5="A",Inputs_Actuals!AA117,Z163*(1+Assumptions!$C$130*Assumptions!$F$171))</f>
        <v>2883.0845804253</v>
      </c>
      <c r="AB163" s="65" t="n">
        <f aca="false">IF(AB$5="A",Inputs_Actuals!AB117,AA163*(1+Assumptions!$C$130*Assumptions!$F$171))</f>
        <v>2898.94154561764</v>
      </c>
    </row>
    <row r="164" customFormat="false" ht="15" hidden="false" customHeight="false" outlineLevel="0" collapsed="false">
      <c r="A164" s="28" t="s">
        <v>902</v>
      </c>
      <c r="B164" s="63" t="s">
        <v>937</v>
      </c>
      <c r="C164" s="64" t="n">
        <f aca="false">P164</f>
        <v>4305.16551757698</v>
      </c>
      <c r="D164" s="64" t="n">
        <f aca="false">AB164</f>
        <v>4080.03557715224</v>
      </c>
      <c r="E164" s="74" t="n">
        <f aca="false">0</f>
        <v>0</v>
      </c>
      <c r="F164" s="74" t="n">
        <f aca="false">0</f>
        <v>0</v>
      </c>
      <c r="G164" s="74" t="n">
        <f aca="false">0</f>
        <v>0</v>
      </c>
      <c r="H164" s="74" t="n">
        <f aca="false">0</f>
        <v>0</v>
      </c>
      <c r="I164" s="74" t="n">
        <f aca="false">0</f>
        <v>0</v>
      </c>
      <c r="J164" s="65" t="n">
        <f aca="false">IF(J$5="A",Inputs_Actuals!J118,New_Business!J15)</f>
        <v>4143.41</v>
      </c>
      <c r="K164" s="65" t="n">
        <f aca="false">IF(K$5="A",Inputs_Actuals!K118,J164*(1+Assumptions!$C$130*Assumptions!$F$171))</f>
        <v>4190.01</v>
      </c>
      <c r="L164" s="65" t="n">
        <f aca="false">IF(L$5="A",Inputs_Actuals!L118,K164*(1+Assumptions!$C$130*Assumptions!$F$171))</f>
        <v>4211.74</v>
      </c>
      <c r="M164" s="65" t="n">
        <f aca="false">IF(M$5="A",Inputs_Actuals!M118,L164*(1+Assumptions!$C$130*Assumptions!$F$171))</f>
        <v>4234.90457</v>
      </c>
      <c r="N164" s="65" t="n">
        <f aca="false">IF(N$5="A",Inputs_Actuals!N118,M164*(1+Assumptions!$C$130*Assumptions!$F$171))</f>
        <v>4258.196545135</v>
      </c>
      <c r="O164" s="65" t="n">
        <f aca="false">IF(O$5="A",Inputs_Actuals!O118,N164*(1+Assumptions!$C$130*Assumptions!$F$171))</f>
        <v>4281.61662613324</v>
      </c>
      <c r="P164" s="65" t="n">
        <f aca="false">IF(P$5="A",Inputs_Actuals!P118,O164*(1+Assumptions!$C$130*Assumptions!$F$171))</f>
        <v>4305.16551757698</v>
      </c>
      <c r="Q164" s="65" t="n">
        <f aca="false">IF(Q$5="A",Inputs_Actuals!Q118,P164*(1+Assumptions!$C$130*Assumptions!$F$171))</f>
        <v>4328.84392792365</v>
      </c>
      <c r="R164" s="65" t="n">
        <f aca="false">IF(R$5="A",Inputs_Actuals!R118,Q164*(1+Assumptions!$C$130*Assumptions!$F$171))</f>
        <v>4352.65256952723</v>
      </c>
      <c r="S164" s="65" t="n">
        <f aca="false">IF(S$5="A",Inputs_Actuals!S118,R164*(1+Assumptions!$C$130*Assumptions!$F$171))</f>
        <v>4376.59215865963</v>
      </c>
      <c r="T164" s="65" t="n">
        <f aca="false">IF(T$5="A",Inputs_Actuals!T118,S164*(1+Assumptions!$C$130*Assumptions!$F$171))</f>
        <v>4400.66341553226</v>
      </c>
      <c r="U164" s="65" t="n">
        <f aca="false">IF(U$5="A",Inputs_Actuals!U118,T164*(1+Assumptions!$C$130*Assumptions!$F$171))</f>
        <v>4424.86706431769</v>
      </c>
      <c r="V164" s="65" t="n">
        <f aca="false">IF(V$5="A",Inputs_Actuals!V118,U164*(1-Assumptions!$C$122*Assumptions!$F$170)*(1-Assumptions!$C$126*Assumptions!$F$170)*(1+Assumptions!V$199)*(1+Assumptions!$C$128*Assumptions!$F$171))</f>
        <v>3947.94869731164</v>
      </c>
      <c r="W164" s="65" t="n">
        <f aca="false">IF(W$5="A",Inputs_Actuals!W118,V164*(1+Assumptions!$C$130*Assumptions!$F$171))</f>
        <v>3969.66241514685</v>
      </c>
      <c r="X164" s="65" t="n">
        <f aca="false">IF(X$5="A",Inputs_Actuals!X118,W164*(1+Assumptions!$C$130*Assumptions!$F$171))</f>
        <v>3991.49555843016</v>
      </c>
      <c r="Y164" s="65" t="n">
        <f aca="false">IF(Y$5="A",Inputs_Actuals!Y118,X164*(1+Assumptions!$C$130*Assumptions!$F$171))</f>
        <v>4013.44878400152</v>
      </c>
      <c r="Z164" s="65" t="n">
        <f aca="false">IF(Z$5="A",Inputs_Actuals!Z118,Y164*(1+Assumptions!$C$130*Assumptions!$F$171))</f>
        <v>4035.52275231353</v>
      </c>
      <c r="AA164" s="65" t="n">
        <f aca="false">IF(AA$5="A",Inputs_Actuals!AA118,Z164*(1+Assumptions!$C$130*Assumptions!$F$171))</f>
        <v>4057.71812745126</v>
      </c>
      <c r="AB164" s="65" t="n">
        <f aca="false">IF(AB$5="A",Inputs_Actuals!AB118,AA164*(1+Assumptions!$C$130*Assumptions!$F$171))</f>
        <v>4080.03557715224</v>
      </c>
    </row>
    <row r="165" customFormat="false" ht="15" hidden="false" customHeight="false" outlineLevel="0" collapsed="false">
      <c r="A165" s="28" t="s">
        <v>903</v>
      </c>
      <c r="B165" s="63" t="s">
        <v>937</v>
      </c>
      <c r="C165" s="64" t="n">
        <f aca="false">P165</f>
        <v>4238.31480389343</v>
      </c>
      <c r="D165" s="64" t="n">
        <f aca="false">AB165</f>
        <v>4016.68068659732</v>
      </c>
      <c r="E165" s="74" t="n">
        <f aca="false">0</f>
        <v>0</v>
      </c>
      <c r="F165" s="74" t="n">
        <f aca="false">0</f>
        <v>0</v>
      </c>
      <c r="G165" s="74" t="n">
        <f aca="false">0</f>
        <v>0</v>
      </c>
      <c r="H165" s="74" t="n">
        <f aca="false">0</f>
        <v>0</v>
      </c>
      <c r="I165" s="74" t="n">
        <f aca="false">0</f>
        <v>0</v>
      </c>
      <c r="J165" s="74" t="n">
        <f aca="false">0</f>
        <v>0</v>
      </c>
      <c r="K165" s="65" t="n">
        <f aca="false">IF(K$5="A",Inputs_Actuals!K119,New_Business!K15)</f>
        <v>4130.81</v>
      </c>
      <c r="L165" s="65" t="n">
        <f aca="false">IF(L$5="A",Inputs_Actuals!L119,K165*(1+Assumptions!$C$130*Assumptions!$F$171))</f>
        <v>4146.34</v>
      </c>
      <c r="M165" s="65" t="n">
        <f aca="false">IF(M$5="A",Inputs_Actuals!M119,L165*(1+Assumptions!$C$130*Assumptions!$F$171))</f>
        <v>4169.14487</v>
      </c>
      <c r="N165" s="65" t="n">
        <f aca="false">IF(N$5="A",Inputs_Actuals!N119,M165*(1+Assumptions!$C$130*Assumptions!$F$171))</f>
        <v>4192.075166785</v>
      </c>
      <c r="O165" s="65" t="n">
        <f aca="false">IF(O$5="A",Inputs_Actuals!O119,N165*(1+Assumptions!$C$130*Assumptions!$F$171))</f>
        <v>4215.13158020232</v>
      </c>
      <c r="P165" s="65" t="n">
        <f aca="false">IF(P$5="A",Inputs_Actuals!P119,O165*(1+Assumptions!$C$130*Assumptions!$F$171))</f>
        <v>4238.31480389343</v>
      </c>
      <c r="Q165" s="65" t="n">
        <f aca="false">IF(Q$5="A",Inputs_Actuals!Q119,P165*(1+Assumptions!$C$130*Assumptions!$F$171))</f>
        <v>4261.62553531484</v>
      </c>
      <c r="R165" s="65" t="n">
        <f aca="false">IF(R$5="A",Inputs_Actuals!R119,Q165*(1+Assumptions!$C$130*Assumptions!$F$171))</f>
        <v>4285.06447575908</v>
      </c>
      <c r="S165" s="65" t="n">
        <f aca="false">IF(S$5="A",Inputs_Actuals!S119,R165*(1+Assumptions!$C$130*Assumptions!$F$171))</f>
        <v>4308.63233037575</v>
      </c>
      <c r="T165" s="65" t="n">
        <f aca="false">IF(T$5="A",Inputs_Actuals!T119,S165*(1+Assumptions!$C$130*Assumptions!$F$171))</f>
        <v>4332.32980819282</v>
      </c>
      <c r="U165" s="65" t="n">
        <f aca="false">IF(U$5="A",Inputs_Actuals!U119,T165*(1+Assumptions!$C$130*Assumptions!$F$171))</f>
        <v>4356.15762213788</v>
      </c>
      <c r="V165" s="65" t="n">
        <f aca="false">IF(V$5="A",Inputs_Actuals!V119,U165*(1+Assumptions!$C$130*Assumptions!$F$171))</f>
        <v>4380.11648905964</v>
      </c>
      <c r="W165" s="65" t="n">
        <f aca="false">IF(W$5="A",Inputs_Actuals!W119,V165*(1-Assumptions!$C$122*Assumptions!$F$170)*(1-Assumptions!$C$126*Assumptions!$F$170)*(1+Assumptions!W$199)*(1+Assumptions!$C$128*Assumptions!$F$171))</f>
        <v>3908.02140170571</v>
      </c>
      <c r="X165" s="65" t="n">
        <f aca="false">IF(X$5="A",Inputs_Actuals!X119,W165*(1+Assumptions!$C$130*Assumptions!$F$171))</f>
        <v>3929.51551941509</v>
      </c>
      <c r="Y165" s="65" t="n">
        <f aca="false">IF(Y$5="A",Inputs_Actuals!Y119,X165*(1+Assumptions!$C$130*Assumptions!$F$171))</f>
        <v>3951.12785477187</v>
      </c>
      <c r="Z165" s="65" t="n">
        <f aca="false">IF(Z$5="A",Inputs_Actuals!Z119,Y165*(1+Assumptions!$C$130*Assumptions!$F$171))</f>
        <v>3972.85905797312</v>
      </c>
      <c r="AA165" s="65" t="n">
        <f aca="false">IF(AA$5="A",Inputs_Actuals!AA119,Z165*(1+Assumptions!$C$130*Assumptions!$F$171))</f>
        <v>3994.70978279197</v>
      </c>
      <c r="AB165" s="65" t="n">
        <f aca="false">IF(AB$5="A",Inputs_Actuals!AB119,AA165*(1+Assumptions!$C$130*Assumptions!$F$171))</f>
        <v>4016.68068659732</v>
      </c>
    </row>
    <row r="166" customFormat="false" ht="15" hidden="false" customHeight="false" outlineLevel="0" collapsed="false">
      <c r="A166" s="28" t="s">
        <v>904</v>
      </c>
      <c r="B166" s="63" t="s">
        <v>937</v>
      </c>
      <c r="C166" s="64" t="n">
        <f aca="false">P166</f>
        <v>4846.60518930537</v>
      </c>
      <c r="D166" s="64" t="n">
        <f aca="false">AB166</f>
        <v>4593.16175418638</v>
      </c>
      <c r="E166" s="74" t="n">
        <f aca="false">0</f>
        <v>0</v>
      </c>
      <c r="F166" s="74" t="n">
        <f aca="false">0</f>
        <v>0</v>
      </c>
      <c r="G166" s="74" t="n">
        <f aca="false">0</f>
        <v>0</v>
      </c>
      <c r="H166" s="74" t="n">
        <f aca="false">0</f>
        <v>0</v>
      </c>
      <c r="I166" s="74" t="n">
        <f aca="false">0</f>
        <v>0</v>
      </c>
      <c r="J166" s="74" t="n">
        <f aca="false">0</f>
        <v>0</v>
      </c>
      <c r="K166" s="74" t="n">
        <f aca="false">0</f>
        <v>0</v>
      </c>
      <c r="L166" s="65" t="n">
        <f aca="false">IF(L$5="A",Inputs_Actuals!L120,New_Business!L15)</f>
        <v>4741.43</v>
      </c>
      <c r="M166" s="65" t="n">
        <f aca="false">IF(M$5="A",Inputs_Actuals!M120,L166*(1+Assumptions!$C$130*Assumptions!$F$171))</f>
        <v>4767.507865</v>
      </c>
      <c r="N166" s="65" t="n">
        <f aca="false">IF(N$5="A",Inputs_Actuals!N120,M166*(1+Assumptions!$C$130*Assumptions!$F$171))</f>
        <v>4793.7291582575</v>
      </c>
      <c r="O166" s="65" t="n">
        <f aca="false">IF(O$5="A",Inputs_Actuals!O120,N166*(1+Assumptions!$C$130*Assumptions!$F$171))</f>
        <v>4820.09466862792</v>
      </c>
      <c r="P166" s="65" t="n">
        <f aca="false">IF(P$5="A",Inputs_Actuals!P120,O166*(1+Assumptions!$C$130*Assumptions!$F$171))</f>
        <v>4846.60518930537</v>
      </c>
      <c r="Q166" s="65" t="n">
        <f aca="false">IF(Q$5="A",Inputs_Actuals!Q120,P166*(1+Assumptions!$C$130*Assumptions!$F$171))</f>
        <v>4873.26151784655</v>
      </c>
      <c r="R166" s="65" t="n">
        <f aca="false">IF(R$5="A",Inputs_Actuals!R120,Q166*(1+Assumptions!$C$130*Assumptions!$F$171))</f>
        <v>4900.06445619471</v>
      </c>
      <c r="S166" s="65" t="n">
        <f aca="false">IF(S$5="A",Inputs_Actuals!S120,R166*(1+Assumptions!$C$130*Assumptions!$F$171))</f>
        <v>4927.01481070378</v>
      </c>
      <c r="T166" s="65" t="n">
        <f aca="false">IF(T$5="A",Inputs_Actuals!T120,S166*(1+Assumptions!$C$130*Assumptions!$F$171))</f>
        <v>4954.11339216265</v>
      </c>
      <c r="U166" s="65" t="n">
        <f aca="false">IF(U$5="A",Inputs_Actuals!U120,T166*(1+Assumptions!$C$130*Assumptions!$F$171))</f>
        <v>4981.36101581954</v>
      </c>
      <c r="V166" s="65" t="n">
        <f aca="false">IF(V$5="A",Inputs_Actuals!V120,U166*(1+Assumptions!$C$130*Assumptions!$F$171))</f>
        <v>5008.75850140655</v>
      </c>
      <c r="W166" s="65" t="n">
        <f aca="false">IF(W$5="A",Inputs_Actuals!W120,V166*(1+Assumptions!$C$130*Assumptions!$F$171))</f>
        <v>5036.30667316429</v>
      </c>
      <c r="X166" s="65" t="n">
        <f aca="false">IF(X$5="A",Inputs_Actuals!X120,W166*(1-Assumptions!$C$122*Assumptions!$F$170)*(1-Assumptions!$C$126*Assumptions!$F$170)*(1+Assumptions!X$199)*(1+Assumptions!$C$128*Assumptions!$F$171))</f>
        <v>4493.4864891013</v>
      </c>
      <c r="Y166" s="65" t="n">
        <f aca="false">IF(Y$5="A",Inputs_Actuals!Y120,X166*(1+Assumptions!$C$130*Assumptions!$F$171))</f>
        <v>4518.20066479136</v>
      </c>
      <c r="Z166" s="65" t="n">
        <f aca="false">IF(Z$5="A",Inputs_Actuals!Z120,Y166*(1+Assumptions!$C$130*Assumptions!$F$171))</f>
        <v>4543.05076844771</v>
      </c>
      <c r="AA166" s="65" t="n">
        <f aca="false">IF(AA$5="A",Inputs_Actuals!AA120,Z166*(1+Assumptions!$C$130*Assumptions!$F$171))</f>
        <v>4568.03754767417</v>
      </c>
      <c r="AB166" s="65" t="n">
        <f aca="false">IF(AB$5="A",Inputs_Actuals!AB120,AA166*(1+Assumptions!$C$130*Assumptions!$F$171))</f>
        <v>4593.16175418638</v>
      </c>
    </row>
    <row r="167" customFormat="false" ht="15" hidden="false" customHeight="false" outlineLevel="0" collapsed="false">
      <c r="A167" s="28" t="s">
        <v>905</v>
      </c>
      <c r="B167" s="63" t="s">
        <v>937</v>
      </c>
      <c r="C167" s="64" t="n">
        <f aca="false">P167</f>
        <v>4380.51480933051</v>
      </c>
      <c r="D167" s="64" t="n">
        <f aca="false">AB167</f>
        <v>4151.44462979202</v>
      </c>
      <c r="E167" s="74" t="n">
        <f aca="false">0</f>
        <v>0</v>
      </c>
      <c r="F167" s="74" t="n">
        <f aca="false">0</f>
        <v>0</v>
      </c>
      <c r="G167" s="74" t="n">
        <f aca="false">0</f>
        <v>0</v>
      </c>
      <c r="H167" s="74" t="n">
        <f aca="false">0</f>
        <v>0</v>
      </c>
      <c r="I167" s="74" t="n">
        <f aca="false">0</f>
        <v>0</v>
      </c>
      <c r="J167" s="74" t="n">
        <f aca="false">0</f>
        <v>0</v>
      </c>
      <c r="K167" s="74" t="n">
        <f aca="false">0</f>
        <v>0</v>
      </c>
      <c r="L167" s="74" t="n">
        <f aca="false">0</f>
        <v>0</v>
      </c>
      <c r="M167" s="65" t="n">
        <f aca="false">IF(M$5="A",0,New_Business!M15)</f>
        <v>4309.02415</v>
      </c>
      <c r="N167" s="65" t="n">
        <f aca="false">IF(N$5="A",0,M167*(1+Assumptions!$C$130*Assumptions!$F$171))</f>
        <v>4332.723782825</v>
      </c>
      <c r="O167" s="65" t="n">
        <f aca="false">IF(O$5="A",0,N167*(1+Assumptions!$C$130*Assumptions!$F$171))</f>
        <v>4356.55376363054</v>
      </c>
      <c r="P167" s="65" t="n">
        <f aca="false">IF(P$5="A",0,O167*(1+Assumptions!$C$130*Assumptions!$F$171))</f>
        <v>4380.51480933051</v>
      </c>
      <c r="Q167" s="65" t="n">
        <f aca="false">IF(Q$5="A",0,P167*(1+Assumptions!$C$130*Assumptions!$F$171))</f>
        <v>4404.60764078183</v>
      </c>
      <c r="R167" s="65" t="n">
        <f aca="false">IF(R$5="A",0,Q167*(1+Assumptions!$C$130*Assumptions!$F$171))</f>
        <v>4428.83298280613</v>
      </c>
      <c r="S167" s="65" t="n">
        <f aca="false">IF(S$5="A",0,R167*(1+Assumptions!$C$130*Assumptions!$F$171))</f>
        <v>4453.19156421156</v>
      </c>
      <c r="T167" s="65" t="n">
        <f aca="false">IF(T$5="A",0,S167*(1+Assumptions!$C$130*Assumptions!$F$171))</f>
        <v>4477.68411781472</v>
      </c>
      <c r="U167" s="65" t="n">
        <f aca="false">IF(U$5="A",0,T167*(1+Assumptions!$C$130*Assumptions!$F$171))</f>
        <v>4502.31138046271</v>
      </c>
      <c r="V167" s="65" t="n">
        <f aca="false">IF(V$5="A",0,U167*(1+Assumptions!$C$130*Assumptions!$F$171))</f>
        <v>4527.07409305525</v>
      </c>
      <c r="W167" s="65" t="n">
        <f aca="false">IF(W$5="A",0,V167*(1+Assumptions!$C$130*Assumptions!$F$171))</f>
        <v>4551.97300056705</v>
      </c>
      <c r="X167" s="65" t="n">
        <f aca="false">IF(X$5="A",0,W167*(1+Assumptions!$C$130*Assumptions!$F$171))</f>
        <v>4577.00885207017</v>
      </c>
      <c r="Y167" s="65" t="n">
        <f aca="false">IF(Y$5="A",0,X167*(1-Assumptions!$C$122*Assumptions!$F$170)*(1-Assumptions!$C$126*Assumptions!$F$170)*(1+Assumptions!Y$199)*(1+Assumptions!$C$128*Assumptions!$F$171))</f>
        <v>4083.69243018166</v>
      </c>
      <c r="Z167" s="65" t="n">
        <f aca="false">IF(Z$5="A",0,Y167*(1+Assumptions!$C$130*Assumptions!$F$171))</f>
        <v>4106.15273854766</v>
      </c>
      <c r="AA167" s="65" t="n">
        <f aca="false">IF(AA$5="A",0,Z167*(1+Assumptions!$C$130*Assumptions!$F$171))</f>
        <v>4128.73657860967</v>
      </c>
      <c r="AB167" s="65" t="n">
        <f aca="false">IF(AB$5="A",0,AA167*(1+Assumptions!$C$130*Assumptions!$F$171))</f>
        <v>4151.44462979202</v>
      </c>
    </row>
    <row r="168" customFormat="false" ht="15" hidden="false" customHeight="false" outlineLevel="0" collapsed="false">
      <c r="A168" s="28" t="s">
        <v>906</v>
      </c>
      <c r="B168" s="63" t="s">
        <v>937</v>
      </c>
      <c r="C168" s="64" t="n">
        <f aca="false">P168</f>
        <v>4517.75945335077</v>
      </c>
      <c r="D168" s="64" t="n">
        <f aca="false">AB168</f>
        <v>4281.51234219241</v>
      </c>
      <c r="E168" s="74" t="n">
        <f aca="false">0</f>
        <v>0</v>
      </c>
      <c r="F168" s="74" t="n">
        <f aca="false">0</f>
        <v>0</v>
      </c>
      <c r="G168" s="74" t="n">
        <f aca="false">0</f>
        <v>0</v>
      </c>
      <c r="H168" s="74" t="n">
        <f aca="false">0</f>
        <v>0</v>
      </c>
      <c r="I168" s="74" t="n">
        <f aca="false">0</f>
        <v>0</v>
      </c>
      <c r="J168" s="74" t="n">
        <f aca="false">0</f>
        <v>0</v>
      </c>
      <c r="K168" s="74" t="n">
        <f aca="false">0</f>
        <v>0</v>
      </c>
      <c r="L168" s="74" t="n">
        <f aca="false">0</f>
        <v>0</v>
      </c>
      <c r="M168" s="74" t="n">
        <f aca="false">0</f>
        <v>0</v>
      </c>
      <c r="N168" s="65" t="n">
        <f aca="false">IF(N$5="A",0,New_Business!N15)</f>
        <v>4468.4711</v>
      </c>
      <c r="O168" s="65" t="n">
        <f aca="false">IF(O$5="A",0,N168*(1+Assumptions!$C$130*Assumptions!$F$171))</f>
        <v>4493.04769105</v>
      </c>
      <c r="P168" s="65" t="n">
        <f aca="false">IF(P$5="A",0,O168*(1+Assumptions!$C$130*Assumptions!$F$171))</f>
        <v>4517.75945335077</v>
      </c>
      <c r="Q168" s="65" t="n">
        <f aca="false">IF(Q$5="A",0,P168*(1+Assumptions!$C$130*Assumptions!$F$171))</f>
        <v>4542.6071303442</v>
      </c>
      <c r="R168" s="65" t="n">
        <f aca="false">IF(R$5="A",0,Q168*(1+Assumptions!$C$130*Assumptions!$F$171))</f>
        <v>4567.5914695611</v>
      </c>
      <c r="S168" s="65" t="n">
        <f aca="false">IF(S$5="A",0,R168*(1+Assumptions!$C$130*Assumptions!$F$171))</f>
        <v>4592.71322264368</v>
      </c>
      <c r="T168" s="65" t="n">
        <f aca="false">IF(T$5="A",0,S168*(1+Assumptions!$C$130*Assumptions!$F$171))</f>
        <v>4617.97314536822</v>
      </c>
      <c r="U168" s="65" t="n">
        <f aca="false">IF(U$5="A",0,T168*(1+Assumptions!$C$130*Assumptions!$F$171))</f>
        <v>4643.37199766775</v>
      </c>
      <c r="V168" s="65" t="n">
        <f aca="false">IF(V$5="A",0,U168*(1+Assumptions!$C$130*Assumptions!$F$171))</f>
        <v>4668.91054365492</v>
      </c>
      <c r="W168" s="65" t="n">
        <f aca="false">IF(W$5="A",0,V168*(1+Assumptions!$C$130*Assumptions!$F$171))</f>
        <v>4694.58955164503</v>
      </c>
      <c r="X168" s="65" t="n">
        <f aca="false">IF(X$5="A",0,W168*(1+Assumptions!$C$130*Assumptions!$F$171))</f>
        <v>4720.40979417907</v>
      </c>
      <c r="Y168" s="65" t="n">
        <f aca="false">IF(Y$5="A",0,X168*(1+Assumptions!$C$130*Assumptions!$F$171))</f>
        <v>4746.37204804706</v>
      </c>
      <c r="Z168" s="65" t="n">
        <f aca="false">IF(Z$5="A",0,Y168*(1-Assumptions!$C$122*Assumptions!$F$170)*(1-Assumptions!$C$126*Assumptions!$F$170)*(1+Assumptions!Z$199)*(1+Assumptions!$C$128*Assumptions!$F$171))</f>
        <v>4234.80142378768</v>
      </c>
      <c r="AA168" s="65" t="n">
        <f aca="false">IF(AA$5="A",0,Z168*(1+Assumptions!$C$130*Assumptions!$F$171))</f>
        <v>4258.09283161851</v>
      </c>
      <c r="AB168" s="65" t="n">
        <f aca="false">IF(AB$5="A",0,AA168*(1+Assumptions!$C$130*Assumptions!$F$171))</f>
        <v>4281.51234219241</v>
      </c>
    </row>
    <row r="169" customFormat="false" ht="15" hidden="false" customHeight="false" outlineLevel="0" collapsed="false">
      <c r="A169" s="28" t="s">
        <v>907</v>
      </c>
      <c r="B169" s="63" t="s">
        <v>937</v>
      </c>
      <c r="C169" s="64" t="n">
        <f aca="false">P169</f>
        <v>4092.03900745</v>
      </c>
      <c r="D169" s="64" t="n">
        <f aca="false">AB169</f>
        <v>3878.05408765964</v>
      </c>
      <c r="E169" s="74" t="n">
        <f aca="false">0</f>
        <v>0</v>
      </c>
      <c r="F169" s="74" t="n">
        <f aca="false">0</f>
        <v>0</v>
      </c>
      <c r="G169" s="74" t="n">
        <f aca="false">0</f>
        <v>0</v>
      </c>
      <c r="H169" s="74" t="n">
        <f aca="false">0</f>
        <v>0</v>
      </c>
      <c r="I169" s="74" t="n">
        <f aca="false">0</f>
        <v>0</v>
      </c>
      <c r="J169" s="74" t="n">
        <f aca="false">0</f>
        <v>0</v>
      </c>
      <c r="K169" s="74" t="n">
        <f aca="false">0</f>
        <v>0</v>
      </c>
      <c r="L169" s="74" t="n">
        <f aca="false">0</f>
        <v>0</v>
      </c>
      <c r="M169" s="74" t="n">
        <f aca="false">0</f>
        <v>0</v>
      </c>
      <c r="N169" s="74" t="n">
        <f aca="false">0</f>
        <v>0</v>
      </c>
      <c r="O169" s="65" t="n">
        <f aca="false">IF(O$5="A",0,New_Business!O15)</f>
        <v>4069.6559</v>
      </c>
      <c r="P169" s="65" t="n">
        <f aca="false">IF(P$5="A",0,O169*(1+Assumptions!$C$130*Assumptions!$F$171))</f>
        <v>4092.03900745</v>
      </c>
      <c r="Q169" s="65" t="n">
        <f aca="false">IF(Q$5="A",0,P169*(1+Assumptions!$C$130*Assumptions!$F$171))</f>
        <v>4114.54522199098</v>
      </c>
      <c r="R169" s="65" t="n">
        <f aca="false">IF(R$5="A",0,Q169*(1+Assumptions!$C$130*Assumptions!$F$171))</f>
        <v>4137.17522071193</v>
      </c>
      <c r="S169" s="65" t="n">
        <f aca="false">IF(S$5="A",0,R169*(1+Assumptions!$C$130*Assumptions!$F$171))</f>
        <v>4159.92968442584</v>
      </c>
      <c r="T169" s="65" t="n">
        <f aca="false">IF(T$5="A",0,S169*(1+Assumptions!$C$130*Assumptions!$F$171))</f>
        <v>4182.80929769018</v>
      </c>
      <c r="U169" s="65" t="n">
        <f aca="false">IF(U$5="A",0,T169*(1+Assumptions!$C$130*Assumptions!$F$171))</f>
        <v>4205.81474882748</v>
      </c>
      <c r="V169" s="65" t="n">
        <f aca="false">IF(V$5="A",0,U169*(1+Assumptions!$C$130*Assumptions!$F$171))</f>
        <v>4228.94672994603</v>
      </c>
      <c r="W169" s="65" t="n">
        <f aca="false">IF(W$5="A",0,V169*(1+Assumptions!$C$130*Assumptions!$F$171))</f>
        <v>4252.20593696074</v>
      </c>
      <c r="X169" s="65" t="n">
        <f aca="false">IF(X$5="A",0,W169*(1+Assumptions!$C$130*Assumptions!$F$171))</f>
        <v>4275.59306961402</v>
      </c>
      <c r="Y169" s="65" t="n">
        <f aca="false">IF(Y$5="A",0,X169*(1+Assumptions!$C$130*Assumptions!$F$171))</f>
        <v>4299.1088314969</v>
      </c>
      <c r="Z169" s="65" t="n">
        <f aca="false">IF(Z$5="A",0,Y169*(1+Assumptions!$C$130*Assumptions!$F$171))</f>
        <v>4322.75393007013</v>
      </c>
      <c r="AA169" s="65" t="n">
        <f aca="false">IF(AA$5="A",0,Z169*(1-Assumptions!$C$122*Assumptions!$F$170)*(1-Assumptions!$C$126*Assumptions!$F$170)*(1+Assumptions!AA$199)*(1+Assumptions!$C$128*Assumptions!$F$171))</f>
        <v>3856.84145963167</v>
      </c>
      <c r="AB169" s="65" t="n">
        <f aca="false">IF(AB$5="A",0,AA169*(1+Assumptions!$C$130*Assumptions!$F$171))</f>
        <v>3878.05408765964</v>
      </c>
    </row>
    <row r="170" customFormat="false" ht="15" hidden="false" customHeight="false" outlineLevel="0" collapsed="false">
      <c r="A170" s="28" t="s">
        <v>908</v>
      </c>
      <c r="B170" s="63" t="s">
        <v>937</v>
      </c>
      <c r="C170" s="64" t="n">
        <f aca="false">P170</f>
        <v>3391.11615</v>
      </c>
      <c r="D170" s="64" t="n">
        <f aca="false">AB170</f>
        <v>3213.78457617179</v>
      </c>
      <c r="E170" s="74" t="n">
        <f aca="false">0</f>
        <v>0</v>
      </c>
      <c r="F170" s="74" t="n">
        <f aca="false">0</f>
        <v>0</v>
      </c>
      <c r="G170" s="74" t="n">
        <f aca="false">0</f>
        <v>0</v>
      </c>
      <c r="H170" s="74" t="n">
        <f aca="false">0</f>
        <v>0</v>
      </c>
      <c r="I170" s="74" t="n">
        <f aca="false">0</f>
        <v>0</v>
      </c>
      <c r="J170" s="74" t="n">
        <f aca="false">0</f>
        <v>0</v>
      </c>
      <c r="K170" s="74" t="n">
        <f aca="false">0</f>
        <v>0</v>
      </c>
      <c r="L170" s="74" t="n">
        <f aca="false">0</f>
        <v>0</v>
      </c>
      <c r="M170" s="74" t="n">
        <f aca="false">0</f>
        <v>0</v>
      </c>
      <c r="N170" s="74" t="n">
        <f aca="false">0</f>
        <v>0</v>
      </c>
      <c r="O170" s="74" t="n">
        <f aca="false">0</f>
        <v>0</v>
      </c>
      <c r="P170" s="65" t="n">
        <f aca="false">IF(P$5="A",0,New_Business!P15)</f>
        <v>3391.11615</v>
      </c>
      <c r="Q170" s="65" t="n">
        <f aca="false">IF(Q$5="A",0,P170*(1+Assumptions!$C$130*Assumptions!$F$171))</f>
        <v>3409.767288825</v>
      </c>
      <c r="R170" s="65" t="n">
        <f aca="false">IF(R$5="A",0,Q170*(1+Assumptions!$C$130*Assumptions!$F$171))</f>
        <v>3428.52100891354</v>
      </c>
      <c r="S170" s="65" t="n">
        <f aca="false">IF(S$5="A",0,R170*(1+Assumptions!$C$130*Assumptions!$F$171))</f>
        <v>3447.37787446256</v>
      </c>
      <c r="T170" s="65" t="n">
        <f aca="false">IF(T$5="A",0,S170*(1+Assumptions!$C$130*Assumptions!$F$171))</f>
        <v>3466.33845277211</v>
      </c>
      <c r="U170" s="65" t="n">
        <f aca="false">IF(U$5="A",0,T170*(1+Assumptions!$C$130*Assumptions!$F$171))</f>
        <v>3485.40331426235</v>
      </c>
      <c r="V170" s="65" t="n">
        <f aca="false">IF(V$5="A",0,U170*(1+Assumptions!$C$130*Assumptions!$F$171))</f>
        <v>3504.5730324908</v>
      </c>
      <c r="W170" s="65" t="n">
        <f aca="false">IF(W$5="A",0,V170*(1+Assumptions!$C$130*Assumptions!$F$171))</f>
        <v>3523.8481841695</v>
      </c>
      <c r="X170" s="65" t="n">
        <f aca="false">IF(X$5="A",0,W170*(1+Assumptions!$C$130*Assumptions!$F$171))</f>
        <v>3543.22934918243</v>
      </c>
      <c r="Y170" s="65" t="n">
        <f aca="false">IF(Y$5="A",0,X170*(1+Assumptions!$C$130*Assumptions!$F$171))</f>
        <v>3562.71711060293</v>
      </c>
      <c r="Z170" s="65" t="n">
        <f aca="false">IF(Z$5="A",0,Y170*(1+Assumptions!$C$130*Assumptions!$F$171))</f>
        <v>3582.31205471125</v>
      </c>
      <c r="AA170" s="65" t="n">
        <f aca="false">IF(AA$5="A",0,Z170*(1+Assumptions!$C$130*Assumptions!$F$171))</f>
        <v>3602.01477101216</v>
      </c>
      <c r="AB170" s="65" t="n">
        <f aca="false">IF(AB$5="A",0,AA170*(1-Assumptions!$C$122*Assumptions!$F$170)*(1-Assumptions!$C$126*Assumptions!$F$170)*(1+Assumptions!AB$199)*(1+Assumptions!$C$128*Assumptions!$F$171))</f>
        <v>3213.78457617179</v>
      </c>
    </row>
    <row r="171" customFormat="false" ht="15" hidden="false" customHeight="false" outlineLevel="0" collapsed="false">
      <c r="A171" s="28" t="s">
        <v>909</v>
      </c>
      <c r="B171" s="63" t="s">
        <v>937</v>
      </c>
      <c r="C171" s="64" t="n">
        <f aca="false">P171</f>
        <v>0</v>
      </c>
      <c r="D171" s="64" t="n">
        <f aca="false">AB171</f>
        <v>5428.93094319808</v>
      </c>
      <c r="E171" s="74" t="n">
        <f aca="false">0</f>
        <v>0</v>
      </c>
      <c r="F171" s="74" t="n">
        <f aca="false">0</f>
        <v>0</v>
      </c>
      <c r="G171" s="74" t="n">
        <f aca="false">0</f>
        <v>0</v>
      </c>
      <c r="H171" s="74" t="n">
        <f aca="false">0</f>
        <v>0</v>
      </c>
      <c r="I171" s="74" t="n">
        <f aca="false">0</f>
        <v>0</v>
      </c>
      <c r="J171" s="74" t="n">
        <f aca="false">0</f>
        <v>0</v>
      </c>
      <c r="K171" s="74" t="n">
        <f aca="false">0</f>
        <v>0</v>
      </c>
      <c r="L171" s="74" t="n">
        <f aca="false">0</f>
        <v>0</v>
      </c>
      <c r="M171" s="74" t="n">
        <f aca="false">0</f>
        <v>0</v>
      </c>
      <c r="N171" s="74" t="n">
        <f aca="false">0</f>
        <v>0</v>
      </c>
      <c r="O171" s="74" t="n">
        <f aca="false">0</f>
        <v>0</v>
      </c>
      <c r="P171" s="74" t="n">
        <f aca="false">0</f>
        <v>0</v>
      </c>
      <c r="Q171" s="65" t="n">
        <f aca="false">IF(Q$5="A",0,New_Business!Q15)</f>
        <v>5111.0660475</v>
      </c>
      <c r="R171" s="65" t="n">
        <f aca="false">IF(R$5="A",0,Q171*(1+Assumptions!$C$130*Assumptions!$F$171))</f>
        <v>5139.17691076125</v>
      </c>
      <c r="S171" s="65" t="n">
        <f aca="false">IF(S$5="A",0,R171*(1+Assumptions!$C$130*Assumptions!$F$171))</f>
        <v>5167.44238377044</v>
      </c>
      <c r="T171" s="65" t="n">
        <f aca="false">IF(T$5="A",0,S171*(1+Assumptions!$C$130*Assumptions!$F$171))</f>
        <v>5195.86331688118</v>
      </c>
      <c r="U171" s="65" t="n">
        <f aca="false">IF(U$5="A",0,T171*(1+Assumptions!$C$130*Assumptions!$F$171))</f>
        <v>5224.44056512402</v>
      </c>
      <c r="V171" s="65" t="n">
        <f aca="false">IF(V$5="A",0,U171*(1+Assumptions!$C$130*Assumptions!$F$171))</f>
        <v>5253.1749882322</v>
      </c>
      <c r="W171" s="65" t="n">
        <f aca="false">IF(W$5="A",0,V171*(1+Assumptions!$C$130*Assumptions!$F$171))</f>
        <v>5282.06745066748</v>
      </c>
      <c r="X171" s="65" t="n">
        <f aca="false">IF(X$5="A",0,W171*(1+Assumptions!$C$130*Assumptions!$F$171))</f>
        <v>5311.11882164615</v>
      </c>
      <c r="Y171" s="65" t="n">
        <f aca="false">IF(Y$5="A",0,X171*(1+Assumptions!$C$130*Assumptions!$F$171))</f>
        <v>5340.32997516521</v>
      </c>
      <c r="Z171" s="65" t="n">
        <f aca="false">IF(Z$5="A",0,Y171*(1+Assumptions!$C$130*Assumptions!$F$171))</f>
        <v>5369.70179002862</v>
      </c>
      <c r="AA171" s="65" t="n">
        <f aca="false">IF(AA$5="A",0,Z171*(1+Assumptions!$C$130*Assumptions!$F$171))</f>
        <v>5399.23514987377</v>
      </c>
      <c r="AB171" s="65" t="n">
        <f aca="false">IF(AB$5="A",0,AA171*(1+Assumptions!$C$130*Assumptions!$F$171))</f>
        <v>5428.93094319808</v>
      </c>
    </row>
    <row r="172" customFormat="false" ht="15" hidden="false" customHeight="false" outlineLevel="0" collapsed="false">
      <c r="A172" s="28" t="s">
        <v>910</v>
      </c>
      <c r="B172" s="63" t="s">
        <v>937</v>
      </c>
      <c r="C172" s="64" t="n">
        <f aca="false">P172</f>
        <v>0</v>
      </c>
      <c r="D172" s="64" t="n">
        <f aca="false">AB172</f>
        <v>4779.5716505954</v>
      </c>
      <c r="E172" s="74" t="n">
        <f aca="false">0</f>
        <v>0</v>
      </c>
      <c r="F172" s="74" t="n">
        <f aca="false">0</f>
        <v>0</v>
      </c>
      <c r="G172" s="74" t="n">
        <f aca="false">0</f>
        <v>0</v>
      </c>
      <c r="H172" s="74" t="n">
        <f aca="false">0</f>
        <v>0</v>
      </c>
      <c r="I172" s="74" t="n">
        <f aca="false">0</f>
        <v>0</v>
      </c>
      <c r="J172" s="74" t="n">
        <f aca="false">0</f>
        <v>0</v>
      </c>
      <c r="K172" s="74" t="n">
        <f aca="false">0</f>
        <v>0</v>
      </c>
      <c r="L172" s="74" t="n">
        <f aca="false">0</f>
        <v>0</v>
      </c>
      <c r="M172" s="74" t="n">
        <f aca="false">0</f>
        <v>0</v>
      </c>
      <c r="N172" s="74" t="n">
        <f aca="false">0</f>
        <v>0</v>
      </c>
      <c r="O172" s="74" t="n">
        <f aca="false">0</f>
        <v>0</v>
      </c>
      <c r="P172" s="74" t="n">
        <f aca="false">0</f>
        <v>0</v>
      </c>
      <c r="Q172" s="74" t="n">
        <f aca="false">0</f>
        <v>0</v>
      </c>
      <c r="R172" s="65" t="n">
        <f aca="false">IF(R$5="A",0,New_Business!R15)</f>
        <v>4524.4753575</v>
      </c>
      <c r="S172" s="65" t="n">
        <f aca="false">IF(S$5="A",0,R172*(1+Assumptions!$C$130*Assumptions!$F$171))</f>
        <v>4549.35997196625</v>
      </c>
      <c r="T172" s="65" t="n">
        <f aca="false">IF(T$5="A",0,S172*(1+Assumptions!$C$130*Assumptions!$F$171))</f>
        <v>4574.38145181206</v>
      </c>
      <c r="U172" s="65" t="n">
        <f aca="false">IF(U$5="A",0,T172*(1+Assumptions!$C$130*Assumptions!$F$171))</f>
        <v>4599.54054979703</v>
      </c>
      <c r="V172" s="65" t="n">
        <f aca="false">IF(V$5="A",0,U172*(1+Assumptions!$C$130*Assumptions!$F$171))</f>
        <v>4624.83802282092</v>
      </c>
      <c r="W172" s="65" t="n">
        <f aca="false">IF(W$5="A",0,V172*(1+Assumptions!$C$130*Assumptions!$F$171))</f>
        <v>4650.27463194643</v>
      </c>
      <c r="X172" s="65" t="n">
        <f aca="false">IF(X$5="A",0,W172*(1+Assumptions!$C$130*Assumptions!$F$171))</f>
        <v>4675.85114242214</v>
      </c>
      <c r="Y172" s="65" t="n">
        <f aca="false">IF(Y$5="A",0,X172*(1+Assumptions!$C$130*Assumptions!$F$171))</f>
        <v>4701.56832370546</v>
      </c>
      <c r="Z172" s="65" t="n">
        <f aca="false">IF(Z$5="A",0,Y172*(1+Assumptions!$C$130*Assumptions!$F$171))</f>
        <v>4727.42694948584</v>
      </c>
      <c r="AA172" s="65" t="n">
        <f aca="false">IF(AA$5="A",0,Z172*(1+Assumptions!$C$130*Assumptions!$F$171))</f>
        <v>4753.42779770801</v>
      </c>
      <c r="AB172" s="65" t="n">
        <f aca="false">IF(AB$5="A",0,AA172*(1+Assumptions!$C$130*Assumptions!$F$171))</f>
        <v>4779.5716505954</v>
      </c>
    </row>
    <row r="173" customFormat="false" ht="15" hidden="false" customHeight="false" outlineLevel="0" collapsed="false">
      <c r="A173" s="28" t="s">
        <v>911</v>
      </c>
      <c r="B173" s="63" t="s">
        <v>937</v>
      </c>
      <c r="C173" s="64" t="n">
        <f aca="false">P173</f>
        <v>0</v>
      </c>
      <c r="D173" s="64" t="n">
        <f aca="false">AB173</f>
        <v>4621.18203306697</v>
      </c>
      <c r="E173" s="74" t="n">
        <f aca="false">0</f>
        <v>0</v>
      </c>
      <c r="F173" s="74" t="n">
        <f aca="false">0</f>
        <v>0</v>
      </c>
      <c r="G173" s="74" t="n">
        <f aca="false">0</f>
        <v>0</v>
      </c>
      <c r="H173" s="74" t="n">
        <f aca="false">0</f>
        <v>0</v>
      </c>
      <c r="I173" s="74" t="n">
        <f aca="false">0</f>
        <v>0</v>
      </c>
      <c r="J173" s="74" t="n">
        <f aca="false">0</f>
        <v>0</v>
      </c>
      <c r="K173" s="74" t="n">
        <f aca="false">0</f>
        <v>0</v>
      </c>
      <c r="L173" s="74" t="n">
        <f aca="false">0</f>
        <v>0</v>
      </c>
      <c r="M173" s="74" t="n">
        <f aca="false">0</f>
        <v>0</v>
      </c>
      <c r="N173" s="74" t="n">
        <f aca="false">0</f>
        <v>0</v>
      </c>
      <c r="O173" s="74" t="n">
        <f aca="false">0</f>
        <v>0</v>
      </c>
      <c r="P173" s="74" t="n">
        <f aca="false">0</f>
        <v>0</v>
      </c>
      <c r="Q173" s="74" t="n">
        <f aca="false">0</f>
        <v>0</v>
      </c>
      <c r="R173" s="74" t="n">
        <f aca="false">0</f>
        <v>0</v>
      </c>
      <c r="S173" s="65" t="n">
        <f aca="false">IF(S$5="A",0,New_Business!S15)</f>
        <v>4398.59931</v>
      </c>
      <c r="T173" s="65" t="n">
        <f aca="false">IF(T$5="A",0,S173*(1+Assumptions!$C$130*Assumptions!$F$171))</f>
        <v>4422.791606205</v>
      </c>
      <c r="U173" s="65" t="n">
        <f aca="false">IF(U$5="A",0,T173*(1+Assumptions!$C$130*Assumptions!$F$171))</f>
        <v>4447.11696003913</v>
      </c>
      <c r="V173" s="65" t="n">
        <f aca="false">IF(V$5="A",0,U173*(1+Assumptions!$C$130*Assumptions!$F$171))</f>
        <v>4471.57610331934</v>
      </c>
      <c r="W173" s="65" t="n">
        <f aca="false">IF(W$5="A",0,V173*(1+Assumptions!$C$130*Assumptions!$F$171))</f>
        <v>4496.1697718876</v>
      </c>
      <c r="X173" s="65" t="n">
        <f aca="false">IF(X$5="A",0,W173*(1+Assumptions!$C$130*Assumptions!$F$171))</f>
        <v>4520.89870563298</v>
      </c>
      <c r="Y173" s="65" t="n">
        <f aca="false">IF(Y$5="A",0,X173*(1+Assumptions!$C$130*Assumptions!$F$171))</f>
        <v>4545.76364851396</v>
      </c>
      <c r="Z173" s="65" t="n">
        <f aca="false">IF(Z$5="A",0,Y173*(1+Assumptions!$C$130*Assumptions!$F$171))</f>
        <v>4570.76534858079</v>
      </c>
      <c r="AA173" s="65" t="n">
        <f aca="false">IF(AA$5="A",0,Z173*(1+Assumptions!$C$130*Assumptions!$F$171))</f>
        <v>4595.90455799798</v>
      </c>
      <c r="AB173" s="65" t="n">
        <f aca="false">IF(AB$5="A",0,AA173*(1+Assumptions!$C$130*Assumptions!$F$171))</f>
        <v>4621.18203306697</v>
      </c>
    </row>
    <row r="174" customFormat="false" ht="15" hidden="false" customHeight="false" outlineLevel="0" collapsed="false">
      <c r="A174" s="28" t="s">
        <v>912</v>
      </c>
      <c r="B174" s="63" t="s">
        <v>937</v>
      </c>
      <c r="C174" s="64" t="n">
        <f aca="false">P174</f>
        <v>0</v>
      </c>
      <c r="D174" s="64" t="n">
        <f aca="false">AB174</f>
        <v>4377.13463948354</v>
      </c>
      <c r="E174" s="74" t="n">
        <f aca="false">0</f>
        <v>0</v>
      </c>
      <c r="F174" s="74" t="n">
        <f aca="false">0</f>
        <v>0</v>
      </c>
      <c r="G174" s="74" t="n">
        <f aca="false">0</f>
        <v>0</v>
      </c>
      <c r="H174" s="74" t="n">
        <f aca="false">0</f>
        <v>0</v>
      </c>
      <c r="I174" s="74" t="n">
        <f aca="false">0</f>
        <v>0</v>
      </c>
      <c r="J174" s="74" t="n">
        <f aca="false">0</f>
        <v>0</v>
      </c>
      <c r="K174" s="74" t="n">
        <f aca="false">0</f>
        <v>0</v>
      </c>
      <c r="L174" s="74" t="n">
        <f aca="false">0</f>
        <v>0</v>
      </c>
      <c r="M174" s="74" t="n">
        <f aca="false">0</f>
        <v>0</v>
      </c>
      <c r="N174" s="74" t="n">
        <f aca="false">0</f>
        <v>0</v>
      </c>
      <c r="O174" s="74" t="n">
        <f aca="false">0</f>
        <v>0</v>
      </c>
      <c r="P174" s="74" t="n">
        <f aca="false">0</f>
        <v>0</v>
      </c>
      <c r="Q174" s="74" t="n">
        <f aca="false">0</f>
        <v>0</v>
      </c>
      <c r="R174" s="74" t="n">
        <f aca="false">0</f>
        <v>0</v>
      </c>
      <c r="S174" s="74" t="n">
        <f aca="false">0</f>
        <v>0</v>
      </c>
      <c r="T174" s="65" t="n">
        <f aca="false">IF(T$5="A",0,New_Business!T15)</f>
        <v>4189.22133</v>
      </c>
      <c r="U174" s="65" t="n">
        <f aca="false">IF(U$5="A",0,T174*(1+Assumptions!$C$130*Assumptions!$F$171))</f>
        <v>4212.262047315</v>
      </c>
      <c r="V174" s="65" t="n">
        <f aca="false">IF(V$5="A",0,U174*(1+Assumptions!$C$130*Assumptions!$F$171))</f>
        <v>4235.42948857523</v>
      </c>
      <c r="W174" s="65" t="n">
        <f aca="false">IF(W$5="A",0,V174*(1+Assumptions!$C$130*Assumptions!$F$171))</f>
        <v>4258.7243507624</v>
      </c>
      <c r="X174" s="65" t="n">
        <f aca="false">IF(X$5="A",0,W174*(1+Assumptions!$C$130*Assumptions!$F$171))</f>
        <v>4282.14733469159</v>
      </c>
      <c r="Y174" s="65" t="n">
        <f aca="false">IF(Y$5="A",0,X174*(1+Assumptions!$C$130*Assumptions!$F$171))</f>
        <v>4305.69914503239</v>
      </c>
      <c r="Z174" s="65" t="n">
        <f aca="false">IF(Z$5="A",0,Y174*(1+Assumptions!$C$130*Assumptions!$F$171))</f>
        <v>4329.38049033007</v>
      </c>
      <c r="AA174" s="65" t="n">
        <f aca="false">IF(AA$5="A",0,Z174*(1+Assumptions!$C$130*Assumptions!$F$171))</f>
        <v>4353.19208302689</v>
      </c>
      <c r="AB174" s="65" t="n">
        <f aca="false">IF(AB$5="A",0,AA174*(1+Assumptions!$C$130*Assumptions!$F$171))</f>
        <v>4377.13463948354</v>
      </c>
    </row>
    <row r="175" customFormat="false" ht="15" hidden="false" customHeight="false" outlineLevel="0" collapsed="false">
      <c r="A175" s="28" t="s">
        <v>913</v>
      </c>
      <c r="B175" s="63" t="s">
        <v>937</v>
      </c>
      <c r="C175" s="64" t="n">
        <f aca="false">P175</f>
        <v>0</v>
      </c>
      <c r="D175" s="64" t="n">
        <f aca="false">AB175</f>
        <v>4353.19208302689</v>
      </c>
      <c r="E175" s="74" t="n">
        <f aca="false">0</f>
        <v>0</v>
      </c>
      <c r="F175" s="74" t="n">
        <f aca="false">0</f>
        <v>0</v>
      </c>
      <c r="G175" s="74" t="n">
        <f aca="false">0</f>
        <v>0</v>
      </c>
      <c r="H175" s="74" t="n">
        <f aca="false">0</f>
        <v>0</v>
      </c>
      <c r="I175" s="74" t="n">
        <f aca="false">0</f>
        <v>0</v>
      </c>
      <c r="J175" s="74" t="n">
        <f aca="false">0</f>
        <v>0</v>
      </c>
      <c r="K175" s="74" t="n">
        <f aca="false">0</f>
        <v>0</v>
      </c>
      <c r="L175" s="74" t="n">
        <f aca="false">0</f>
        <v>0</v>
      </c>
      <c r="M175" s="74" t="n">
        <f aca="false">0</f>
        <v>0</v>
      </c>
      <c r="N175" s="74" t="n">
        <f aca="false">0</f>
        <v>0</v>
      </c>
      <c r="O175" s="74" t="n">
        <f aca="false">0</f>
        <v>0</v>
      </c>
      <c r="P175" s="74" t="n">
        <f aca="false">0</f>
        <v>0</v>
      </c>
      <c r="Q175" s="74" t="n">
        <f aca="false">0</f>
        <v>0</v>
      </c>
      <c r="R175" s="74" t="n">
        <f aca="false">0</f>
        <v>0</v>
      </c>
      <c r="S175" s="74" t="n">
        <f aca="false">0</f>
        <v>0</v>
      </c>
      <c r="T175" s="74" t="n">
        <f aca="false">0</f>
        <v>0</v>
      </c>
      <c r="U175" s="65" t="n">
        <f aca="false">IF(U$5="A",0,New_Business!U15)</f>
        <v>4189.22133</v>
      </c>
      <c r="V175" s="65" t="n">
        <f aca="false">IF(V$5="A",0,U175*(1+Assumptions!$C$130*Assumptions!$F$171))</f>
        <v>4212.262047315</v>
      </c>
      <c r="W175" s="65" t="n">
        <f aca="false">IF(W$5="A",0,V175*(1+Assumptions!$C$130*Assumptions!$F$171))</f>
        <v>4235.42948857523</v>
      </c>
      <c r="X175" s="65" t="n">
        <f aca="false">IF(X$5="A",0,W175*(1+Assumptions!$C$130*Assumptions!$F$171))</f>
        <v>4258.7243507624</v>
      </c>
      <c r="Y175" s="65" t="n">
        <f aca="false">IF(Y$5="A",0,X175*(1+Assumptions!$C$130*Assumptions!$F$171))</f>
        <v>4282.14733469159</v>
      </c>
      <c r="Z175" s="65" t="n">
        <f aca="false">IF(Z$5="A",0,Y175*(1+Assumptions!$C$130*Assumptions!$F$171))</f>
        <v>4305.69914503239</v>
      </c>
      <c r="AA175" s="65" t="n">
        <f aca="false">IF(AA$5="A",0,Z175*(1+Assumptions!$C$130*Assumptions!$F$171))</f>
        <v>4329.38049033007</v>
      </c>
      <c r="AB175" s="65" t="n">
        <f aca="false">IF(AB$5="A",0,AA175*(1+Assumptions!$C$130*Assumptions!$F$171))</f>
        <v>4353.19208302689</v>
      </c>
    </row>
    <row r="176" customFormat="false" ht="15" hidden="false" customHeight="false" outlineLevel="0" collapsed="false">
      <c r="A176" s="28" t="s">
        <v>914</v>
      </c>
      <c r="B176" s="63" t="s">
        <v>937</v>
      </c>
      <c r="C176" s="64" t="n">
        <f aca="false">P176</f>
        <v>0</v>
      </c>
      <c r="D176" s="64" t="n">
        <f aca="false">AB176</f>
        <v>4112.99733214618</v>
      </c>
      <c r="E176" s="74" t="n">
        <f aca="false">0</f>
        <v>0</v>
      </c>
      <c r="F176" s="74" t="n">
        <f aca="false">0</f>
        <v>0</v>
      </c>
      <c r="G176" s="74" t="n">
        <f aca="false">0</f>
        <v>0</v>
      </c>
      <c r="H176" s="74" t="n">
        <f aca="false">0</f>
        <v>0</v>
      </c>
      <c r="I176" s="74" t="n">
        <f aca="false">0</f>
        <v>0</v>
      </c>
      <c r="J176" s="74" t="n">
        <f aca="false">0</f>
        <v>0</v>
      </c>
      <c r="K176" s="74" t="n">
        <f aca="false">0</f>
        <v>0</v>
      </c>
      <c r="L176" s="74" t="n">
        <f aca="false">0</f>
        <v>0</v>
      </c>
      <c r="M176" s="74" t="n">
        <f aca="false">0</f>
        <v>0</v>
      </c>
      <c r="N176" s="74" t="n">
        <f aca="false">0</f>
        <v>0</v>
      </c>
      <c r="O176" s="74" t="n">
        <f aca="false">0</f>
        <v>0</v>
      </c>
      <c r="P176" s="74" t="n">
        <f aca="false">0</f>
        <v>0</v>
      </c>
      <c r="Q176" s="74" t="n">
        <f aca="false">0</f>
        <v>0</v>
      </c>
      <c r="R176" s="74" t="n">
        <f aca="false">0</f>
        <v>0</v>
      </c>
      <c r="S176" s="74" t="n">
        <f aca="false">0</f>
        <v>0</v>
      </c>
      <c r="T176" s="74" t="n">
        <f aca="false">0</f>
        <v>0</v>
      </c>
      <c r="U176" s="74" t="n">
        <f aca="false">0</f>
        <v>0</v>
      </c>
      <c r="V176" s="65" t="n">
        <f aca="false">IF(V$5="A",0,New_Business!V15)</f>
        <v>3979.84335</v>
      </c>
      <c r="W176" s="65" t="n">
        <f aca="false">IF(W$5="A",0,V176*(1+Assumptions!$C$130*Assumptions!$F$171))</f>
        <v>4001.732488425</v>
      </c>
      <c r="X176" s="65" t="n">
        <f aca="false">IF(X$5="A",0,W176*(1+Assumptions!$C$130*Assumptions!$F$171))</f>
        <v>4023.74201711134</v>
      </c>
      <c r="Y176" s="65" t="n">
        <f aca="false">IF(Y$5="A",0,X176*(1+Assumptions!$C$130*Assumptions!$F$171))</f>
        <v>4045.87259820545</v>
      </c>
      <c r="Z176" s="65" t="n">
        <f aca="false">IF(Z$5="A",0,Y176*(1+Assumptions!$C$130*Assumptions!$F$171))</f>
        <v>4068.12489749558</v>
      </c>
      <c r="AA176" s="65" t="n">
        <f aca="false">IF(AA$5="A",0,Z176*(1+Assumptions!$C$130*Assumptions!$F$171))</f>
        <v>4090.49958443181</v>
      </c>
      <c r="AB176" s="65" t="n">
        <f aca="false">IF(AB$5="A",0,AA176*(1+Assumptions!$C$130*Assumptions!$F$171))</f>
        <v>4112.99733214618</v>
      </c>
    </row>
    <row r="177" customFormat="false" ht="15" hidden="false" customHeight="false" outlineLevel="0" collapsed="false">
      <c r="A177" s="28" t="s">
        <v>915</v>
      </c>
      <c r="B177" s="63" t="s">
        <v>937</v>
      </c>
      <c r="C177" s="64" t="n">
        <f aca="false">P177</f>
        <v>0</v>
      </c>
      <c r="D177" s="64" t="n">
        <f aca="false">AB177</f>
        <v>3659.67347997547</v>
      </c>
      <c r="E177" s="74" t="n">
        <f aca="false">0</f>
        <v>0</v>
      </c>
      <c r="F177" s="74" t="n">
        <f aca="false">0</f>
        <v>0</v>
      </c>
      <c r="G177" s="74" t="n">
        <f aca="false">0</f>
        <v>0</v>
      </c>
      <c r="H177" s="74" t="n">
        <f aca="false">0</f>
        <v>0</v>
      </c>
      <c r="I177" s="74" t="n">
        <f aca="false">0</f>
        <v>0</v>
      </c>
      <c r="J177" s="74" t="n">
        <f aca="false">0</f>
        <v>0</v>
      </c>
      <c r="K177" s="74" t="n">
        <f aca="false">0</f>
        <v>0</v>
      </c>
      <c r="L177" s="74" t="n">
        <f aca="false">0</f>
        <v>0</v>
      </c>
      <c r="M177" s="74" t="n">
        <f aca="false">0</f>
        <v>0</v>
      </c>
      <c r="N177" s="74" t="n">
        <f aca="false">0</f>
        <v>0</v>
      </c>
      <c r="O177" s="74" t="n">
        <f aca="false">0</f>
        <v>0</v>
      </c>
      <c r="P177" s="74" t="n">
        <f aca="false">0</f>
        <v>0</v>
      </c>
      <c r="Q177" s="74" t="n">
        <f aca="false">0</f>
        <v>0</v>
      </c>
      <c r="R177" s="74" t="n">
        <f aca="false">0</f>
        <v>0</v>
      </c>
      <c r="S177" s="74" t="n">
        <f aca="false">0</f>
        <v>0</v>
      </c>
      <c r="T177" s="74" t="n">
        <f aca="false">0</f>
        <v>0</v>
      </c>
      <c r="U177" s="74" t="n">
        <f aca="false">0</f>
        <v>0</v>
      </c>
      <c r="V177" s="74" t="n">
        <f aca="false">0</f>
        <v>0</v>
      </c>
      <c r="W177" s="65" t="n">
        <f aca="false">IF(W$5="A",0,New_Business!W15)</f>
        <v>3560.6719575</v>
      </c>
      <c r="X177" s="65" t="n">
        <f aca="false">IF(X$5="A",0,W177*(1+Assumptions!$C$130*Assumptions!$F$171))</f>
        <v>3580.25565326625</v>
      </c>
      <c r="Y177" s="65" t="n">
        <f aca="false">IF(Y$5="A",0,X177*(1+Assumptions!$C$130*Assumptions!$F$171))</f>
        <v>3599.94705935921</v>
      </c>
      <c r="Z177" s="65" t="n">
        <f aca="false">IF(Z$5="A",0,Y177*(1+Assumptions!$C$130*Assumptions!$F$171))</f>
        <v>3619.74676818569</v>
      </c>
      <c r="AA177" s="65" t="n">
        <f aca="false">IF(AA$5="A",0,Z177*(1+Assumptions!$C$130*Assumptions!$F$171))</f>
        <v>3639.65537541071</v>
      </c>
      <c r="AB177" s="65" t="n">
        <f aca="false">IF(AB$5="A",0,AA177*(1+Assumptions!$C$130*Assumptions!$F$171))</f>
        <v>3659.67347997547</v>
      </c>
    </row>
    <row r="178" customFormat="false" ht="15" hidden="false" customHeight="false" outlineLevel="0" collapsed="false">
      <c r="A178" s="28" t="s">
        <v>916</v>
      </c>
      <c r="B178" s="63" t="s">
        <v>937</v>
      </c>
      <c r="C178" s="64" t="n">
        <f aca="false">P178</f>
        <v>0</v>
      </c>
      <c r="D178" s="64" t="n">
        <f aca="false">AB178</f>
        <v>2911.80922986714</v>
      </c>
      <c r="E178" s="74" t="n">
        <f aca="false">0</f>
        <v>0</v>
      </c>
      <c r="F178" s="74" t="n">
        <f aca="false">0</f>
        <v>0</v>
      </c>
      <c r="G178" s="74" t="n">
        <f aca="false">0</f>
        <v>0</v>
      </c>
      <c r="H178" s="74" t="n">
        <f aca="false">0</f>
        <v>0</v>
      </c>
      <c r="I178" s="74" t="n">
        <f aca="false">0</f>
        <v>0</v>
      </c>
      <c r="J178" s="74" t="n">
        <f aca="false">0</f>
        <v>0</v>
      </c>
      <c r="K178" s="74" t="n">
        <f aca="false">0</f>
        <v>0</v>
      </c>
      <c r="L178" s="74" t="n">
        <f aca="false">0</f>
        <v>0</v>
      </c>
      <c r="M178" s="74" t="n">
        <f aca="false">0</f>
        <v>0</v>
      </c>
      <c r="N178" s="74" t="n">
        <f aca="false">0</f>
        <v>0</v>
      </c>
      <c r="O178" s="74" t="n">
        <f aca="false">0</f>
        <v>0</v>
      </c>
      <c r="P178" s="74" t="n">
        <f aca="false">0</f>
        <v>0</v>
      </c>
      <c r="Q178" s="74" t="n">
        <f aca="false">0</f>
        <v>0</v>
      </c>
      <c r="R178" s="74" t="n">
        <f aca="false">0</f>
        <v>0</v>
      </c>
      <c r="S178" s="74" t="n">
        <f aca="false">0</f>
        <v>0</v>
      </c>
      <c r="T178" s="74" t="n">
        <f aca="false">0</f>
        <v>0</v>
      </c>
      <c r="U178" s="74" t="n">
        <f aca="false">0</f>
        <v>0</v>
      </c>
      <c r="V178" s="74" t="n">
        <f aca="false">0</f>
        <v>0</v>
      </c>
      <c r="W178" s="74" t="n">
        <f aca="false">0</f>
        <v>0</v>
      </c>
      <c r="X178" s="65" t="n">
        <f aca="false">IF(X$5="A",0,New_Business!X15)</f>
        <v>2848.6206525</v>
      </c>
      <c r="Y178" s="65" t="n">
        <f aca="false">IF(Y$5="A",0,X178*(1+Assumptions!$C$130*Assumptions!$F$171))</f>
        <v>2864.28806608875</v>
      </c>
      <c r="Z178" s="65" t="n">
        <f aca="false">IF(Z$5="A",0,Y178*(1+Assumptions!$C$130*Assumptions!$F$171))</f>
        <v>2880.04165045224</v>
      </c>
      <c r="AA178" s="65" t="n">
        <f aca="false">IF(AA$5="A",0,Z178*(1+Assumptions!$C$130*Assumptions!$F$171))</f>
        <v>2895.88187952973</v>
      </c>
      <c r="AB178" s="65" t="n">
        <f aca="false">IF(AB$5="A",0,AA178*(1+Assumptions!$C$130*Assumptions!$F$171))</f>
        <v>2911.80922986714</v>
      </c>
    </row>
    <row r="179" customFormat="false" ht="15" hidden="false" customHeight="false" outlineLevel="0" collapsed="false">
      <c r="A179" s="28" t="s">
        <v>917</v>
      </c>
      <c r="B179" s="63" t="s">
        <v>937</v>
      </c>
      <c r="C179" s="64" t="n">
        <f aca="false">P179</f>
        <v>0</v>
      </c>
      <c r="D179" s="64" t="n">
        <f aca="false">AB179</f>
        <v>4599.54054979703</v>
      </c>
      <c r="E179" s="74" t="n">
        <f aca="false">0</f>
        <v>0</v>
      </c>
      <c r="F179" s="74" t="n">
        <f aca="false">0</f>
        <v>0</v>
      </c>
      <c r="G179" s="74" t="n">
        <f aca="false">0</f>
        <v>0</v>
      </c>
      <c r="H179" s="74" t="n">
        <f aca="false">0</f>
        <v>0</v>
      </c>
      <c r="I179" s="74" t="n">
        <f aca="false">0</f>
        <v>0</v>
      </c>
      <c r="J179" s="74" t="n">
        <f aca="false">0</f>
        <v>0</v>
      </c>
      <c r="K179" s="74" t="n">
        <f aca="false">0</f>
        <v>0</v>
      </c>
      <c r="L179" s="74" t="n">
        <f aca="false">0</f>
        <v>0</v>
      </c>
      <c r="M179" s="74" t="n">
        <f aca="false">0</f>
        <v>0</v>
      </c>
      <c r="N179" s="74" t="n">
        <f aca="false">0</f>
        <v>0</v>
      </c>
      <c r="O179" s="74" t="n">
        <f aca="false">0</f>
        <v>0</v>
      </c>
      <c r="P179" s="74" t="n">
        <f aca="false">0</f>
        <v>0</v>
      </c>
      <c r="Q179" s="74" t="n">
        <f aca="false">0</f>
        <v>0</v>
      </c>
      <c r="R179" s="74" t="n">
        <f aca="false">0</f>
        <v>0</v>
      </c>
      <c r="S179" s="74" t="n">
        <f aca="false">0</f>
        <v>0</v>
      </c>
      <c r="T179" s="74" t="n">
        <f aca="false">0</f>
        <v>0</v>
      </c>
      <c r="U179" s="74" t="n">
        <f aca="false">0</f>
        <v>0</v>
      </c>
      <c r="V179" s="74" t="n">
        <f aca="false">0</f>
        <v>0</v>
      </c>
      <c r="W179" s="74" t="n">
        <f aca="false">0</f>
        <v>0</v>
      </c>
      <c r="X179" s="74" t="n">
        <f aca="false">0</f>
        <v>0</v>
      </c>
      <c r="Y179" s="65" t="n">
        <f aca="false">IF(Y$5="A",0,New_Business!Y15)</f>
        <v>4524.4753575</v>
      </c>
      <c r="Z179" s="65" t="n">
        <f aca="false">IF(Z$5="A",0,Y179*(1+Assumptions!$C$130*Assumptions!$F$171))</f>
        <v>4549.35997196625</v>
      </c>
      <c r="AA179" s="65" t="n">
        <f aca="false">IF(AA$5="A",0,Z179*(1+Assumptions!$C$130*Assumptions!$F$171))</f>
        <v>4574.38145181206</v>
      </c>
      <c r="AB179" s="65" t="n">
        <f aca="false">IF(AB$5="A",0,AA179*(1+Assumptions!$C$130*Assumptions!$F$171))</f>
        <v>4599.54054979703</v>
      </c>
    </row>
    <row r="180" customFormat="false" ht="15" hidden="false" customHeight="false" outlineLevel="0" collapsed="false">
      <c r="A180" s="28" t="s">
        <v>918</v>
      </c>
      <c r="B180" s="63" t="s">
        <v>937</v>
      </c>
      <c r="C180" s="64" t="n">
        <f aca="false">P180</f>
        <v>0</v>
      </c>
      <c r="D180" s="64" t="n">
        <f aca="false">AB180</f>
        <v>4743.64742601831</v>
      </c>
      <c r="E180" s="74" t="n">
        <f aca="false">0</f>
        <v>0</v>
      </c>
      <c r="F180" s="74" t="n">
        <f aca="false">0</f>
        <v>0</v>
      </c>
      <c r="G180" s="74" t="n">
        <f aca="false">0</f>
        <v>0</v>
      </c>
      <c r="H180" s="74" t="n">
        <f aca="false">0</f>
        <v>0</v>
      </c>
      <c r="I180" s="74" t="n">
        <f aca="false">0</f>
        <v>0</v>
      </c>
      <c r="J180" s="74" t="n">
        <f aca="false">0</f>
        <v>0</v>
      </c>
      <c r="K180" s="74" t="n">
        <f aca="false">0</f>
        <v>0</v>
      </c>
      <c r="L180" s="74" t="n">
        <f aca="false">0</f>
        <v>0</v>
      </c>
      <c r="M180" s="74" t="n">
        <f aca="false">0</f>
        <v>0</v>
      </c>
      <c r="N180" s="74" t="n">
        <f aca="false">0</f>
        <v>0</v>
      </c>
      <c r="O180" s="74" t="n">
        <f aca="false">0</f>
        <v>0</v>
      </c>
      <c r="P180" s="74" t="n">
        <f aca="false">0</f>
        <v>0</v>
      </c>
      <c r="Q180" s="74" t="n">
        <f aca="false">0</f>
        <v>0</v>
      </c>
      <c r="R180" s="74" t="n">
        <f aca="false">0</f>
        <v>0</v>
      </c>
      <c r="S180" s="74" t="n">
        <f aca="false">0</f>
        <v>0</v>
      </c>
      <c r="T180" s="74" t="n">
        <f aca="false">0</f>
        <v>0</v>
      </c>
      <c r="U180" s="74" t="n">
        <f aca="false">0</f>
        <v>0</v>
      </c>
      <c r="V180" s="74" t="n">
        <f aca="false">0</f>
        <v>0</v>
      </c>
      <c r="W180" s="74" t="n">
        <f aca="false">0</f>
        <v>0</v>
      </c>
      <c r="X180" s="74" t="n">
        <f aca="false">0</f>
        <v>0</v>
      </c>
      <c r="Y180" s="74" t="n">
        <f aca="false">0</f>
        <v>0</v>
      </c>
      <c r="Z180" s="65" t="n">
        <f aca="false">IF(Z$5="A",0,New_Business!Z15)</f>
        <v>4691.894655</v>
      </c>
      <c r="AA180" s="65" t="n">
        <f aca="false">IF(AA$5="A",0,Z180*(1+Assumptions!$C$130*Assumptions!$F$171))</f>
        <v>4717.7000756025</v>
      </c>
      <c r="AB180" s="65" t="n">
        <f aca="false">IF(AB$5="A",0,AA180*(1+Assumptions!$C$130*Assumptions!$F$171))</f>
        <v>4743.64742601831</v>
      </c>
    </row>
    <row r="181" customFormat="false" ht="15" hidden="false" customHeight="false" outlineLevel="0" collapsed="false">
      <c r="A181" s="28" t="s">
        <v>919</v>
      </c>
      <c r="B181" s="63" t="s">
        <v>937</v>
      </c>
      <c r="C181" s="64" t="n">
        <f aca="false">P181</f>
        <v>0</v>
      </c>
      <c r="D181" s="64" t="n">
        <f aca="false">AB181</f>
        <v>4296.6409578225</v>
      </c>
      <c r="E181" s="74" t="n">
        <f aca="false">0</f>
        <v>0</v>
      </c>
      <c r="F181" s="74" t="n">
        <f aca="false">0</f>
        <v>0</v>
      </c>
      <c r="G181" s="74" t="n">
        <f aca="false">0</f>
        <v>0</v>
      </c>
      <c r="H181" s="74" t="n">
        <f aca="false">0</f>
        <v>0</v>
      </c>
      <c r="I181" s="74" t="n">
        <f aca="false">0</f>
        <v>0</v>
      </c>
      <c r="J181" s="74" t="n">
        <f aca="false">0</f>
        <v>0</v>
      </c>
      <c r="K181" s="74" t="n">
        <f aca="false">0</f>
        <v>0</v>
      </c>
      <c r="L181" s="74" t="n">
        <f aca="false">0</f>
        <v>0</v>
      </c>
      <c r="M181" s="74" t="n">
        <f aca="false">0</f>
        <v>0</v>
      </c>
      <c r="N181" s="74" t="n">
        <f aca="false">0</f>
        <v>0</v>
      </c>
      <c r="O181" s="74" t="n">
        <f aca="false">0</f>
        <v>0</v>
      </c>
      <c r="P181" s="74" t="n">
        <f aca="false">0</f>
        <v>0</v>
      </c>
      <c r="Q181" s="74" t="n">
        <f aca="false">0</f>
        <v>0</v>
      </c>
      <c r="R181" s="74" t="n">
        <f aca="false">0</f>
        <v>0</v>
      </c>
      <c r="S181" s="74" t="n">
        <f aca="false">0</f>
        <v>0</v>
      </c>
      <c r="T181" s="74" t="n">
        <f aca="false">0</f>
        <v>0</v>
      </c>
      <c r="U181" s="74" t="n">
        <f aca="false">0</f>
        <v>0</v>
      </c>
      <c r="V181" s="74" t="n">
        <f aca="false">0</f>
        <v>0</v>
      </c>
      <c r="W181" s="74" t="n">
        <f aca="false">0</f>
        <v>0</v>
      </c>
      <c r="X181" s="74" t="n">
        <f aca="false">0</f>
        <v>0</v>
      </c>
      <c r="Y181" s="74" t="n">
        <f aca="false">0</f>
        <v>0</v>
      </c>
      <c r="Z181" s="74" t="n">
        <f aca="false">0</f>
        <v>0</v>
      </c>
      <c r="AA181" s="65" t="n">
        <f aca="false">IF(AA$5="A",0,New_Business!AA15)</f>
        <v>4273.138695</v>
      </c>
      <c r="AB181" s="65" t="n">
        <f aca="false">IF(AB$5="A",0,AA181*(1+Assumptions!$C$130*Assumptions!$F$171))</f>
        <v>4296.6409578225</v>
      </c>
    </row>
    <row r="182" customFormat="false" ht="15" hidden="false" customHeight="false" outlineLevel="0" collapsed="false">
      <c r="A182" s="28" t="s">
        <v>920</v>
      </c>
      <c r="B182" s="63" t="s">
        <v>937</v>
      </c>
      <c r="C182" s="64" t="n">
        <f aca="false">P182</f>
        <v>0</v>
      </c>
      <c r="D182" s="64" t="n">
        <f aca="false">AB182</f>
        <v>3560.6719575</v>
      </c>
      <c r="E182" s="74" t="n">
        <f aca="false">0</f>
        <v>0</v>
      </c>
      <c r="F182" s="74" t="n">
        <f aca="false">0</f>
        <v>0</v>
      </c>
      <c r="G182" s="74" t="n">
        <f aca="false">0</f>
        <v>0</v>
      </c>
      <c r="H182" s="74" t="n">
        <f aca="false">0</f>
        <v>0</v>
      </c>
      <c r="I182" s="74" t="n">
        <f aca="false">0</f>
        <v>0</v>
      </c>
      <c r="J182" s="74" t="n">
        <f aca="false">0</f>
        <v>0</v>
      </c>
      <c r="K182" s="74" t="n">
        <f aca="false">0</f>
        <v>0</v>
      </c>
      <c r="L182" s="74" t="n">
        <f aca="false">0</f>
        <v>0</v>
      </c>
      <c r="M182" s="74" t="n">
        <f aca="false">0</f>
        <v>0</v>
      </c>
      <c r="N182" s="74" t="n">
        <f aca="false">0</f>
        <v>0</v>
      </c>
      <c r="O182" s="74" t="n">
        <f aca="false">0</f>
        <v>0</v>
      </c>
      <c r="P182" s="74" t="n">
        <f aca="false">0</f>
        <v>0</v>
      </c>
      <c r="Q182" s="74" t="n">
        <f aca="false">0</f>
        <v>0</v>
      </c>
      <c r="R182" s="74" t="n">
        <f aca="false">0</f>
        <v>0</v>
      </c>
      <c r="S182" s="74" t="n">
        <f aca="false">0</f>
        <v>0</v>
      </c>
      <c r="T182" s="74" t="n">
        <f aca="false">0</f>
        <v>0</v>
      </c>
      <c r="U182" s="74" t="n">
        <f aca="false">0</f>
        <v>0</v>
      </c>
      <c r="V182" s="74" t="n">
        <f aca="false">0</f>
        <v>0</v>
      </c>
      <c r="W182" s="74" t="n">
        <f aca="false">0</f>
        <v>0</v>
      </c>
      <c r="X182" s="74" t="n">
        <f aca="false">0</f>
        <v>0</v>
      </c>
      <c r="Y182" s="74" t="n">
        <f aca="false">0</f>
        <v>0</v>
      </c>
      <c r="Z182" s="74" t="n">
        <f aca="false">0</f>
        <v>0</v>
      </c>
      <c r="AA182" s="74" t="n">
        <f aca="false">0</f>
        <v>0</v>
      </c>
      <c r="AB182" s="65" t="n">
        <f aca="false">IF(AB$5="A",0,New_Business!AB15)</f>
        <v>3560.6719575</v>
      </c>
    </row>
    <row r="183" customFormat="false" ht="15" hidden="false" customHeight="false" outlineLevel="0" collapsed="false">
      <c r="A183" s="59" t="s">
        <v>949</v>
      </c>
      <c r="B183" s="60"/>
      <c r="C183" s="61" t="n">
        <f aca="false">P183</f>
        <v>206169.015987616</v>
      </c>
      <c r="D183" s="61" t="n">
        <f aca="false">AB183</f>
        <v>261121.188491756</v>
      </c>
      <c r="E183" s="61" t="n">
        <f aca="false">SUM(E123:E182)</f>
        <v>161537.76</v>
      </c>
      <c r="F183" s="61" t="n">
        <f aca="false">SUM(F123:F182)</f>
        <v>164221.87</v>
      </c>
      <c r="G183" s="61" t="n">
        <f aca="false">SUM(G123:G182)</f>
        <v>168175.09</v>
      </c>
      <c r="H183" s="61" t="n">
        <f aca="false">SUM(H123:H182)</f>
        <v>173607.3</v>
      </c>
      <c r="I183" s="61" t="n">
        <f aca="false">SUM(I123:I182)</f>
        <v>174737.86</v>
      </c>
      <c r="J183" s="61" t="n">
        <f aca="false">SUM(J123:J182)</f>
        <v>179786.18</v>
      </c>
      <c r="K183" s="61" t="n">
        <f aca="false">SUM(K123:K182)</f>
        <v>183863.96</v>
      </c>
      <c r="L183" s="61" t="n">
        <f aca="false">SUM(L123:L182)</f>
        <v>187368.91</v>
      </c>
      <c r="M183" s="61" t="n">
        <f aca="false">SUM(M123:M182)</f>
        <v>192436.78119128</v>
      </c>
      <c r="N183" s="61" t="n">
        <f aca="false">SUM(N123:N182)</f>
        <v>197733.437557769</v>
      </c>
      <c r="O183" s="61" t="n">
        <f aca="false">SUM(O123:O182)</f>
        <v>202185.41245898</v>
      </c>
      <c r="P183" s="61" t="n">
        <f aca="false">SUM(P123:P182)</f>
        <v>206169.015987616</v>
      </c>
      <c r="Q183" s="61" t="n">
        <f aca="false">SUM(Q123:Q182)</f>
        <v>210929.915137777</v>
      </c>
      <c r="R183" s="61" t="n">
        <f aca="false">SUM(R123:R182)</f>
        <v>215919.185320842</v>
      </c>
      <c r="S183" s="61" t="n">
        <f aca="false">SUM(S123:S182)</f>
        <v>220398.149792098</v>
      </c>
      <c r="T183" s="61" t="n">
        <f aca="false">SUM(T123:T182)</f>
        <v>224921.647227816</v>
      </c>
      <c r="U183" s="61" t="n">
        <f aca="false">SUM(U123:U182)</f>
        <v>229684.216038077</v>
      </c>
      <c r="V183" s="61" t="n">
        <f aca="false">SUM(V123:V182)</f>
        <v>234194.714753691</v>
      </c>
      <c r="W183" s="61" t="n">
        <f aca="false">SUM(W123:W182)</f>
        <v>238178.354248375</v>
      </c>
      <c r="X183" s="61" t="n">
        <f aca="false">SUM(X123:X182)</f>
        <v>241582.221397932</v>
      </c>
      <c r="Y183" s="61" t="n">
        <f aca="false">SUM(Y123:Y182)</f>
        <v>246633.176101812</v>
      </c>
      <c r="Z183" s="61" t="n">
        <f aca="false">SUM(Z123:Z182)</f>
        <v>251903.4488387</v>
      </c>
      <c r="AA183" s="61" t="n">
        <f aca="false">SUM(AA123:AA182)</f>
        <v>256795.226601984</v>
      </c>
      <c r="AB183" s="61" t="n">
        <f aca="false">SUM(AB123:AB182)</f>
        <v>261121.188491756</v>
      </c>
    </row>
    <row r="184" customFormat="false" ht="15" hidden="false" customHeight="false" outlineLevel="0" collapsed="false">
      <c r="A184" s="22" t="s">
        <v>950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row>
    <row r="185" customFormat="false" ht="15" hidden="false" customHeight="false" outlineLevel="0" collapsed="false">
      <c r="A185" s="28" t="s">
        <v>936</v>
      </c>
      <c r="B185" s="63" t="s">
        <v>937</v>
      </c>
      <c r="C185" s="68" t="n">
        <f aca="false">P185</f>
        <v>12</v>
      </c>
      <c r="D185" s="68" t="n">
        <f aca="false">AB185</f>
        <v>10.8</v>
      </c>
      <c r="E185" s="69" t="n">
        <f aca="false">IF(E$5="A",Inputs_Actuals!E122,History!$F$73*(1-Assumptions!$C$125*Assumptions!$F$170))</f>
        <v>12</v>
      </c>
      <c r="F185" s="69" t="n">
        <f aca="false">IF(F$5="A",Inputs_Actuals!F122,E185)</f>
        <v>12</v>
      </c>
      <c r="G185" s="69" t="n">
        <f aca="false">IF(G$5="A",Inputs_Actuals!G122,F185)</f>
        <v>12</v>
      </c>
      <c r="H185" s="69" t="n">
        <f aca="false">IF(H$5="A",Inputs_Actuals!H122,G185)</f>
        <v>12</v>
      </c>
      <c r="I185" s="69" t="n">
        <f aca="false">IF(I$5="A",Inputs_Actuals!I122,H185)</f>
        <v>12</v>
      </c>
      <c r="J185" s="69" t="n">
        <f aca="false">IF(J$5="A",Inputs_Actuals!J122,I185)</f>
        <v>12</v>
      </c>
      <c r="K185" s="69" t="n">
        <f aca="false">IF(K$5="A",Inputs_Actuals!K122,J185)</f>
        <v>12</v>
      </c>
      <c r="L185" s="69" t="n">
        <f aca="false">IF(L$5="A",Inputs_Actuals!L122,K185)</f>
        <v>12</v>
      </c>
      <c r="M185" s="69" t="n">
        <f aca="false">IF(M$5="A",Inputs_Actuals!M122,L185)</f>
        <v>12</v>
      </c>
      <c r="N185" s="69" t="n">
        <f aca="false">IF(N$5="A",Inputs_Actuals!N122,M185)</f>
        <v>12</v>
      </c>
      <c r="O185" s="69" t="n">
        <f aca="false">IF(O$5="A",Inputs_Actuals!O122,N185)</f>
        <v>12</v>
      </c>
      <c r="P185" s="69" t="n">
        <f aca="false">IF(P$5="A",Inputs_Actuals!P122,O185)</f>
        <v>12</v>
      </c>
      <c r="Q185" s="69" t="n">
        <f aca="false">IF(Q$5="A",Inputs_Actuals!Q122,P185*(1-Assumptions!$C$125*Assumptions!$F$170))</f>
        <v>10.8</v>
      </c>
      <c r="R185" s="69" t="n">
        <f aca="false">IF(R$5="A",Inputs_Actuals!R122,Q185)</f>
        <v>10.8</v>
      </c>
      <c r="S185" s="69" t="n">
        <f aca="false">IF(S$5="A",Inputs_Actuals!S122,R185)</f>
        <v>10.8</v>
      </c>
      <c r="T185" s="69" t="n">
        <f aca="false">IF(T$5="A",Inputs_Actuals!T122,S185)</f>
        <v>10.8</v>
      </c>
      <c r="U185" s="69" t="n">
        <f aca="false">IF(U$5="A",Inputs_Actuals!U122,T185)</f>
        <v>10.8</v>
      </c>
      <c r="V185" s="69" t="n">
        <f aca="false">IF(V$5="A",Inputs_Actuals!V122,U185)</f>
        <v>10.8</v>
      </c>
      <c r="W185" s="69" t="n">
        <f aca="false">IF(W$5="A",Inputs_Actuals!W122,V185)</f>
        <v>10.8</v>
      </c>
      <c r="X185" s="69" t="n">
        <f aca="false">IF(X$5="A",Inputs_Actuals!X122,W185)</f>
        <v>10.8</v>
      </c>
      <c r="Y185" s="69" t="n">
        <f aca="false">IF(Y$5="A",Inputs_Actuals!Y122,X185)</f>
        <v>10.8</v>
      </c>
      <c r="Z185" s="69" t="n">
        <f aca="false">IF(Z$5="A",Inputs_Actuals!Z122,Y185)</f>
        <v>10.8</v>
      </c>
      <c r="AA185" s="69" t="n">
        <f aca="false">IF(AA$5="A",Inputs_Actuals!AA122,Z185)</f>
        <v>10.8</v>
      </c>
      <c r="AB185" s="69" t="n">
        <f aca="false">IF(AB$5="A",Inputs_Actuals!AB122,AA185)</f>
        <v>10.8</v>
      </c>
    </row>
    <row r="186" customFormat="false" ht="15" hidden="false" customHeight="false" outlineLevel="0" collapsed="false">
      <c r="A186" s="28" t="s">
        <v>938</v>
      </c>
      <c r="B186" s="63" t="s">
        <v>937</v>
      </c>
      <c r="C186" s="68" t="n">
        <f aca="false">P186</f>
        <v>6</v>
      </c>
      <c r="D186" s="68" t="n">
        <f aca="false">AB186</f>
        <v>5.4</v>
      </c>
      <c r="E186" s="69" t="n">
        <f aca="false">IF(E$5="A",Inputs_Actuals!E123,History!$F$74)</f>
        <v>8</v>
      </c>
      <c r="F186" s="69" t="n">
        <f aca="false">IF(F$5="A",Inputs_Actuals!F123,E186*(1-Assumptions!$C$125*Assumptions!$F$170))</f>
        <v>6</v>
      </c>
      <c r="G186" s="69" t="n">
        <f aca="false">IF(G$5="A",Inputs_Actuals!G123,F186)</f>
        <v>6</v>
      </c>
      <c r="H186" s="69" t="n">
        <f aca="false">IF(H$5="A",Inputs_Actuals!H123,G186)</f>
        <v>6</v>
      </c>
      <c r="I186" s="69" t="n">
        <f aca="false">IF(I$5="A",Inputs_Actuals!I123,H186)</f>
        <v>6</v>
      </c>
      <c r="J186" s="69" t="n">
        <f aca="false">IF(J$5="A",Inputs_Actuals!J123,I186)</f>
        <v>6</v>
      </c>
      <c r="K186" s="69" t="n">
        <f aca="false">IF(K$5="A",Inputs_Actuals!K123,J186)</f>
        <v>6</v>
      </c>
      <c r="L186" s="69" t="n">
        <f aca="false">IF(L$5="A",Inputs_Actuals!L123,K186)</f>
        <v>6</v>
      </c>
      <c r="M186" s="69" t="n">
        <f aca="false">IF(M$5="A",Inputs_Actuals!M123,L186)</f>
        <v>6</v>
      </c>
      <c r="N186" s="69" t="n">
        <f aca="false">IF(N$5="A",Inputs_Actuals!N123,M186)</f>
        <v>6</v>
      </c>
      <c r="O186" s="69" t="n">
        <f aca="false">IF(O$5="A",Inputs_Actuals!O123,N186)</f>
        <v>6</v>
      </c>
      <c r="P186" s="69" t="n">
        <f aca="false">IF(P$5="A",Inputs_Actuals!P123,O186)</f>
        <v>6</v>
      </c>
      <c r="Q186" s="69" t="n">
        <f aca="false">IF(Q$5="A",Inputs_Actuals!Q123,P186)</f>
        <v>6</v>
      </c>
      <c r="R186" s="69" t="n">
        <f aca="false">IF(R$5="A",Inputs_Actuals!R123,Q186*(1-Assumptions!$C$125*Assumptions!$F$170))</f>
        <v>5.4</v>
      </c>
      <c r="S186" s="69" t="n">
        <f aca="false">IF(S$5="A",Inputs_Actuals!S123,R186)</f>
        <v>5.4</v>
      </c>
      <c r="T186" s="69" t="n">
        <f aca="false">IF(T$5="A",Inputs_Actuals!T123,S186)</f>
        <v>5.4</v>
      </c>
      <c r="U186" s="69" t="n">
        <f aca="false">IF(U$5="A",Inputs_Actuals!U123,T186)</f>
        <v>5.4</v>
      </c>
      <c r="V186" s="69" t="n">
        <f aca="false">IF(V$5="A",Inputs_Actuals!V123,U186)</f>
        <v>5.4</v>
      </c>
      <c r="W186" s="69" t="n">
        <f aca="false">IF(W$5="A",Inputs_Actuals!W123,V186)</f>
        <v>5.4</v>
      </c>
      <c r="X186" s="69" t="n">
        <f aca="false">IF(X$5="A",Inputs_Actuals!X123,W186)</f>
        <v>5.4</v>
      </c>
      <c r="Y186" s="69" t="n">
        <f aca="false">IF(Y$5="A",Inputs_Actuals!Y123,X186)</f>
        <v>5.4</v>
      </c>
      <c r="Z186" s="69" t="n">
        <f aca="false">IF(Z$5="A",Inputs_Actuals!Z123,Y186)</f>
        <v>5.4</v>
      </c>
      <c r="AA186" s="69" t="n">
        <f aca="false">IF(AA$5="A",Inputs_Actuals!AA123,Z186)</f>
        <v>5.4</v>
      </c>
      <c r="AB186" s="69" t="n">
        <f aca="false">IF(AB$5="A",Inputs_Actuals!AB123,AA186)</f>
        <v>5.4</v>
      </c>
    </row>
    <row r="187" customFormat="false" ht="15" hidden="false" customHeight="false" outlineLevel="0" collapsed="false">
      <c r="A187" s="28" t="s">
        <v>939</v>
      </c>
      <c r="B187" s="63" t="s">
        <v>937</v>
      </c>
      <c r="C187" s="68" t="n">
        <f aca="false">P187</f>
        <v>5</v>
      </c>
      <c r="D187" s="68" t="n">
        <f aca="false">AB187</f>
        <v>4.5</v>
      </c>
      <c r="E187" s="69" t="n">
        <f aca="false">IF(E$5="A",Inputs_Actuals!E124,History!$F$75)</f>
        <v>7</v>
      </c>
      <c r="F187" s="69" t="n">
        <f aca="false">IF(F$5="A",Inputs_Actuals!F124,E187)</f>
        <v>7</v>
      </c>
      <c r="G187" s="69" t="n">
        <f aca="false">IF(G$5="A",Inputs_Actuals!G124,F187*(1-Assumptions!$C$125*Assumptions!$F$170))</f>
        <v>5</v>
      </c>
      <c r="H187" s="69" t="n">
        <f aca="false">IF(H$5="A",Inputs_Actuals!H124,G187)</f>
        <v>5</v>
      </c>
      <c r="I187" s="69" t="n">
        <f aca="false">IF(I$5="A",Inputs_Actuals!I124,H187)</f>
        <v>5</v>
      </c>
      <c r="J187" s="69" t="n">
        <f aca="false">IF(J$5="A",Inputs_Actuals!J124,I187)</f>
        <v>5</v>
      </c>
      <c r="K187" s="69" t="n">
        <f aca="false">IF(K$5="A",Inputs_Actuals!K124,J187)</f>
        <v>5</v>
      </c>
      <c r="L187" s="69" t="n">
        <f aca="false">IF(L$5="A",Inputs_Actuals!L124,K187)</f>
        <v>5</v>
      </c>
      <c r="M187" s="69" t="n">
        <f aca="false">IF(M$5="A",Inputs_Actuals!M124,L187)</f>
        <v>5</v>
      </c>
      <c r="N187" s="69" t="n">
        <f aca="false">IF(N$5="A",Inputs_Actuals!N124,M187)</f>
        <v>5</v>
      </c>
      <c r="O187" s="69" t="n">
        <f aca="false">IF(O$5="A",Inputs_Actuals!O124,N187)</f>
        <v>5</v>
      </c>
      <c r="P187" s="69" t="n">
        <f aca="false">IF(P$5="A",Inputs_Actuals!P124,O187)</f>
        <v>5</v>
      </c>
      <c r="Q187" s="69" t="n">
        <f aca="false">IF(Q$5="A",Inputs_Actuals!Q124,P187)</f>
        <v>5</v>
      </c>
      <c r="R187" s="69" t="n">
        <f aca="false">IF(R$5="A",Inputs_Actuals!R124,Q187)</f>
        <v>5</v>
      </c>
      <c r="S187" s="69" t="n">
        <f aca="false">IF(S$5="A",Inputs_Actuals!S124,R187*(1-Assumptions!$C$125*Assumptions!$F$170))</f>
        <v>4.5</v>
      </c>
      <c r="T187" s="69" t="n">
        <f aca="false">IF(T$5="A",Inputs_Actuals!T124,S187)</f>
        <v>4.5</v>
      </c>
      <c r="U187" s="69" t="n">
        <f aca="false">IF(U$5="A",Inputs_Actuals!U124,T187)</f>
        <v>4.5</v>
      </c>
      <c r="V187" s="69" t="n">
        <f aca="false">IF(V$5="A",Inputs_Actuals!V124,U187)</f>
        <v>4.5</v>
      </c>
      <c r="W187" s="69" t="n">
        <f aca="false">IF(W$5="A",Inputs_Actuals!W124,V187)</f>
        <v>4.5</v>
      </c>
      <c r="X187" s="69" t="n">
        <f aca="false">IF(X$5="A",Inputs_Actuals!X124,W187)</f>
        <v>4.5</v>
      </c>
      <c r="Y187" s="69" t="n">
        <f aca="false">IF(Y$5="A",Inputs_Actuals!Y124,X187)</f>
        <v>4.5</v>
      </c>
      <c r="Z187" s="69" t="n">
        <f aca="false">IF(Z$5="A",Inputs_Actuals!Z124,Y187)</f>
        <v>4.5</v>
      </c>
      <c r="AA187" s="69" t="n">
        <f aca="false">IF(AA$5="A",Inputs_Actuals!AA124,Z187)</f>
        <v>4.5</v>
      </c>
      <c r="AB187" s="69" t="n">
        <f aca="false">IF(AB$5="A",Inputs_Actuals!AB124,AA187)</f>
        <v>4.5</v>
      </c>
    </row>
    <row r="188" customFormat="false" ht="15" hidden="false" customHeight="false" outlineLevel="0" collapsed="false">
      <c r="A188" s="28" t="s">
        <v>940</v>
      </c>
      <c r="B188" s="63" t="s">
        <v>937</v>
      </c>
      <c r="C188" s="68" t="n">
        <f aca="false">P188</f>
        <v>6</v>
      </c>
      <c r="D188" s="68" t="n">
        <f aca="false">AB188</f>
        <v>5.4</v>
      </c>
      <c r="E188" s="69" t="n">
        <f aca="false">IF(E$5="A",Inputs_Actuals!E125,History!$F$76)</f>
        <v>7</v>
      </c>
      <c r="F188" s="69" t="n">
        <f aca="false">IF(F$5="A",Inputs_Actuals!F125,E188)</f>
        <v>7</v>
      </c>
      <c r="G188" s="69" t="n">
        <f aca="false">IF(G$5="A",Inputs_Actuals!G125,F188)</f>
        <v>7</v>
      </c>
      <c r="H188" s="69" t="n">
        <f aca="false">IF(H$5="A",Inputs_Actuals!H125,G188*(1-Assumptions!$C$125*Assumptions!$F$170))</f>
        <v>6</v>
      </c>
      <c r="I188" s="69" t="n">
        <f aca="false">IF(I$5="A",Inputs_Actuals!I125,H188)</f>
        <v>6</v>
      </c>
      <c r="J188" s="69" t="n">
        <f aca="false">IF(J$5="A",Inputs_Actuals!J125,I188)</f>
        <v>6</v>
      </c>
      <c r="K188" s="69" t="n">
        <f aca="false">IF(K$5="A",Inputs_Actuals!K125,J188)</f>
        <v>6</v>
      </c>
      <c r="L188" s="69" t="n">
        <f aca="false">IF(L$5="A",Inputs_Actuals!L125,K188)</f>
        <v>6</v>
      </c>
      <c r="M188" s="69" t="n">
        <f aca="false">IF(M$5="A",Inputs_Actuals!M125,L188)</f>
        <v>6</v>
      </c>
      <c r="N188" s="69" t="n">
        <f aca="false">IF(N$5="A",Inputs_Actuals!N125,M188)</f>
        <v>6</v>
      </c>
      <c r="O188" s="69" t="n">
        <f aca="false">IF(O$5="A",Inputs_Actuals!O125,N188)</f>
        <v>6</v>
      </c>
      <c r="P188" s="69" t="n">
        <f aca="false">IF(P$5="A",Inputs_Actuals!P125,O188)</f>
        <v>6</v>
      </c>
      <c r="Q188" s="69" t="n">
        <f aca="false">IF(Q$5="A",Inputs_Actuals!Q125,P188)</f>
        <v>6</v>
      </c>
      <c r="R188" s="69" t="n">
        <f aca="false">IF(R$5="A",Inputs_Actuals!R125,Q188)</f>
        <v>6</v>
      </c>
      <c r="S188" s="69" t="n">
        <f aca="false">IF(S$5="A",Inputs_Actuals!S125,R188)</f>
        <v>6</v>
      </c>
      <c r="T188" s="69" t="n">
        <f aca="false">IF(T$5="A",Inputs_Actuals!T125,S188*(1-Assumptions!$C$125*Assumptions!$F$170))</f>
        <v>5.4</v>
      </c>
      <c r="U188" s="69" t="n">
        <f aca="false">IF(U$5="A",Inputs_Actuals!U125,T188)</f>
        <v>5.4</v>
      </c>
      <c r="V188" s="69" t="n">
        <f aca="false">IF(V$5="A",Inputs_Actuals!V125,U188)</f>
        <v>5.4</v>
      </c>
      <c r="W188" s="69" t="n">
        <f aca="false">IF(W$5="A",Inputs_Actuals!W125,V188)</f>
        <v>5.4</v>
      </c>
      <c r="X188" s="69" t="n">
        <f aca="false">IF(X$5="A",Inputs_Actuals!X125,W188)</f>
        <v>5.4</v>
      </c>
      <c r="Y188" s="69" t="n">
        <f aca="false">IF(Y$5="A",Inputs_Actuals!Y125,X188)</f>
        <v>5.4</v>
      </c>
      <c r="Z188" s="69" t="n">
        <f aca="false">IF(Z$5="A",Inputs_Actuals!Z125,Y188)</f>
        <v>5.4</v>
      </c>
      <c r="AA188" s="69" t="n">
        <f aca="false">IF(AA$5="A",Inputs_Actuals!AA125,Z188)</f>
        <v>5.4</v>
      </c>
      <c r="AB188" s="69" t="n">
        <f aca="false">IF(AB$5="A",Inputs_Actuals!AB125,AA188)</f>
        <v>5.4</v>
      </c>
    </row>
    <row r="189" customFormat="false" ht="15" hidden="false" customHeight="false" outlineLevel="0" collapsed="false">
      <c r="A189" s="28" t="s">
        <v>941</v>
      </c>
      <c r="B189" s="63" t="s">
        <v>937</v>
      </c>
      <c r="C189" s="68" t="n">
        <f aca="false">P189</f>
        <v>6</v>
      </c>
      <c r="D189" s="68" t="n">
        <f aca="false">AB189</f>
        <v>5.4</v>
      </c>
      <c r="E189" s="69" t="n">
        <f aca="false">IF(E$5="A",Inputs_Actuals!E126,History!$F$77)</f>
        <v>7</v>
      </c>
      <c r="F189" s="69" t="n">
        <f aca="false">IF(F$5="A",Inputs_Actuals!F126,E189)</f>
        <v>7</v>
      </c>
      <c r="G189" s="69" t="n">
        <f aca="false">IF(G$5="A",Inputs_Actuals!G126,F189)</f>
        <v>7</v>
      </c>
      <c r="H189" s="69" t="n">
        <f aca="false">IF(H$5="A",Inputs_Actuals!H126,G189)</f>
        <v>7</v>
      </c>
      <c r="I189" s="69" t="n">
        <f aca="false">IF(I$5="A",Inputs_Actuals!I126,H189*(1-Assumptions!$C$125*Assumptions!$F$170))</f>
        <v>6</v>
      </c>
      <c r="J189" s="69" t="n">
        <f aca="false">IF(J$5="A",Inputs_Actuals!J126,I189)</f>
        <v>6</v>
      </c>
      <c r="K189" s="69" t="n">
        <f aca="false">IF(K$5="A",Inputs_Actuals!K126,J189)</f>
        <v>6</v>
      </c>
      <c r="L189" s="69" t="n">
        <f aca="false">IF(L$5="A",Inputs_Actuals!L126,K189)</f>
        <v>6</v>
      </c>
      <c r="M189" s="69" t="n">
        <f aca="false">IF(M$5="A",Inputs_Actuals!M126,L189)</f>
        <v>6</v>
      </c>
      <c r="N189" s="69" t="n">
        <f aca="false">IF(N$5="A",Inputs_Actuals!N126,M189)</f>
        <v>6</v>
      </c>
      <c r="O189" s="69" t="n">
        <f aca="false">IF(O$5="A",Inputs_Actuals!O126,N189)</f>
        <v>6</v>
      </c>
      <c r="P189" s="69" t="n">
        <f aca="false">IF(P$5="A",Inputs_Actuals!P126,O189)</f>
        <v>6</v>
      </c>
      <c r="Q189" s="69" t="n">
        <f aca="false">IF(Q$5="A",Inputs_Actuals!Q126,P189)</f>
        <v>6</v>
      </c>
      <c r="R189" s="69" t="n">
        <f aca="false">IF(R$5="A",Inputs_Actuals!R126,Q189)</f>
        <v>6</v>
      </c>
      <c r="S189" s="69" t="n">
        <f aca="false">IF(S$5="A",Inputs_Actuals!S126,R189)</f>
        <v>6</v>
      </c>
      <c r="T189" s="69" t="n">
        <f aca="false">IF(T$5="A",Inputs_Actuals!T126,S189)</f>
        <v>6</v>
      </c>
      <c r="U189" s="69" t="n">
        <f aca="false">IF(U$5="A",Inputs_Actuals!U126,T189*(1-Assumptions!$C$125*Assumptions!$F$170))</f>
        <v>5.4</v>
      </c>
      <c r="V189" s="69" t="n">
        <f aca="false">IF(V$5="A",Inputs_Actuals!V126,U189)</f>
        <v>5.4</v>
      </c>
      <c r="W189" s="69" t="n">
        <f aca="false">IF(W$5="A",Inputs_Actuals!W126,V189)</f>
        <v>5.4</v>
      </c>
      <c r="X189" s="69" t="n">
        <f aca="false">IF(X$5="A",Inputs_Actuals!X126,W189)</f>
        <v>5.4</v>
      </c>
      <c r="Y189" s="69" t="n">
        <f aca="false">IF(Y$5="A",Inputs_Actuals!Y126,X189)</f>
        <v>5.4</v>
      </c>
      <c r="Z189" s="69" t="n">
        <f aca="false">IF(Z$5="A",Inputs_Actuals!Z126,Y189)</f>
        <v>5.4</v>
      </c>
      <c r="AA189" s="69" t="n">
        <f aca="false">IF(AA$5="A",Inputs_Actuals!AA126,Z189)</f>
        <v>5.4</v>
      </c>
      <c r="AB189" s="69" t="n">
        <f aca="false">IF(AB$5="A",Inputs_Actuals!AB126,AA189)</f>
        <v>5.4</v>
      </c>
    </row>
    <row r="190" customFormat="false" ht="15" hidden="false" customHeight="false" outlineLevel="0" collapsed="false">
      <c r="A190" s="28" t="s">
        <v>942</v>
      </c>
      <c r="B190" s="63" t="s">
        <v>937</v>
      </c>
      <c r="C190" s="68" t="n">
        <f aca="false">P190</f>
        <v>5</v>
      </c>
      <c r="D190" s="68" t="n">
        <f aca="false">AB190</f>
        <v>4.5</v>
      </c>
      <c r="E190" s="69" t="n">
        <f aca="false">IF(E$5="A",Inputs_Actuals!E127,History!$F$78)</f>
        <v>5</v>
      </c>
      <c r="F190" s="69" t="n">
        <f aca="false">IF(F$5="A",Inputs_Actuals!F127,E190)</f>
        <v>5</v>
      </c>
      <c r="G190" s="69" t="n">
        <f aca="false">IF(G$5="A",Inputs_Actuals!G127,F190)</f>
        <v>5</v>
      </c>
      <c r="H190" s="69" t="n">
        <f aca="false">IF(H$5="A",Inputs_Actuals!H127,G190)</f>
        <v>5</v>
      </c>
      <c r="I190" s="69" t="n">
        <f aca="false">IF(I$5="A",Inputs_Actuals!I127,H190)</f>
        <v>5</v>
      </c>
      <c r="J190" s="69" t="n">
        <f aca="false">IF(J$5="A",Inputs_Actuals!J127,I190*(1-Assumptions!$C$125*Assumptions!$F$170))</f>
        <v>5</v>
      </c>
      <c r="K190" s="69" t="n">
        <f aca="false">IF(K$5="A",Inputs_Actuals!K127,J190)</f>
        <v>5</v>
      </c>
      <c r="L190" s="69" t="n">
        <f aca="false">IF(L$5="A",Inputs_Actuals!L127,K190)</f>
        <v>5</v>
      </c>
      <c r="M190" s="69" t="n">
        <f aca="false">IF(M$5="A",Inputs_Actuals!M127,L190)</f>
        <v>5</v>
      </c>
      <c r="N190" s="69" t="n">
        <f aca="false">IF(N$5="A",Inputs_Actuals!N127,M190)</f>
        <v>5</v>
      </c>
      <c r="O190" s="69" t="n">
        <f aca="false">IF(O$5="A",Inputs_Actuals!O127,N190)</f>
        <v>5</v>
      </c>
      <c r="P190" s="69" t="n">
        <f aca="false">IF(P$5="A",Inputs_Actuals!P127,O190)</f>
        <v>5</v>
      </c>
      <c r="Q190" s="69" t="n">
        <f aca="false">IF(Q$5="A",Inputs_Actuals!Q127,P190)</f>
        <v>5</v>
      </c>
      <c r="R190" s="69" t="n">
        <f aca="false">IF(R$5="A",Inputs_Actuals!R127,Q190)</f>
        <v>5</v>
      </c>
      <c r="S190" s="69" t="n">
        <f aca="false">IF(S$5="A",Inputs_Actuals!S127,R190)</f>
        <v>5</v>
      </c>
      <c r="T190" s="69" t="n">
        <f aca="false">IF(T$5="A",Inputs_Actuals!T127,S190)</f>
        <v>5</v>
      </c>
      <c r="U190" s="69" t="n">
        <f aca="false">IF(U$5="A",Inputs_Actuals!U127,T190)</f>
        <v>5</v>
      </c>
      <c r="V190" s="69" t="n">
        <f aca="false">IF(V$5="A",Inputs_Actuals!V127,U190*(1-Assumptions!$C$125*Assumptions!$F$170))</f>
        <v>4.5</v>
      </c>
      <c r="W190" s="69" t="n">
        <f aca="false">IF(W$5="A",Inputs_Actuals!W127,V190)</f>
        <v>4.5</v>
      </c>
      <c r="X190" s="69" t="n">
        <f aca="false">IF(X$5="A",Inputs_Actuals!X127,W190)</f>
        <v>4.5</v>
      </c>
      <c r="Y190" s="69" t="n">
        <f aca="false">IF(Y$5="A",Inputs_Actuals!Y127,X190)</f>
        <v>4.5</v>
      </c>
      <c r="Z190" s="69" t="n">
        <f aca="false">IF(Z$5="A",Inputs_Actuals!Z127,Y190)</f>
        <v>4.5</v>
      </c>
      <c r="AA190" s="69" t="n">
        <f aca="false">IF(AA$5="A",Inputs_Actuals!AA127,Z190)</f>
        <v>4.5</v>
      </c>
      <c r="AB190" s="69" t="n">
        <f aca="false">IF(AB$5="A",Inputs_Actuals!AB127,AA190)</f>
        <v>4.5</v>
      </c>
    </row>
    <row r="191" customFormat="false" ht="15" hidden="false" customHeight="false" outlineLevel="0" collapsed="false">
      <c r="A191" s="28" t="s">
        <v>943</v>
      </c>
      <c r="B191" s="63" t="s">
        <v>937</v>
      </c>
      <c r="C191" s="68" t="n">
        <f aca="false">P191</f>
        <v>4</v>
      </c>
      <c r="D191" s="68" t="n">
        <f aca="false">AB191</f>
        <v>3.6</v>
      </c>
      <c r="E191" s="69" t="n">
        <f aca="false">IF(E$5="A",Inputs_Actuals!E128,History!$F$79)</f>
        <v>4</v>
      </c>
      <c r="F191" s="69" t="n">
        <f aca="false">IF(F$5="A",Inputs_Actuals!F128,E191)</f>
        <v>4</v>
      </c>
      <c r="G191" s="69" t="n">
        <f aca="false">IF(G$5="A",Inputs_Actuals!G128,F191)</f>
        <v>4</v>
      </c>
      <c r="H191" s="69" t="n">
        <f aca="false">IF(H$5="A",Inputs_Actuals!H128,G191)</f>
        <v>4</v>
      </c>
      <c r="I191" s="69" t="n">
        <f aca="false">IF(I$5="A",Inputs_Actuals!I128,H191)</f>
        <v>4</v>
      </c>
      <c r="J191" s="69" t="n">
        <f aca="false">IF(J$5="A",Inputs_Actuals!J128,I191)</f>
        <v>4</v>
      </c>
      <c r="K191" s="69" t="n">
        <f aca="false">IF(K$5="A",Inputs_Actuals!K128,J191*(1-Assumptions!$C$125*Assumptions!$F$170))</f>
        <v>4</v>
      </c>
      <c r="L191" s="69" t="n">
        <f aca="false">IF(L$5="A",Inputs_Actuals!L128,K191)</f>
        <v>4</v>
      </c>
      <c r="M191" s="69" t="n">
        <f aca="false">IF(M$5="A",Inputs_Actuals!M128,L191)</f>
        <v>4</v>
      </c>
      <c r="N191" s="69" t="n">
        <f aca="false">IF(N$5="A",Inputs_Actuals!N128,M191)</f>
        <v>4</v>
      </c>
      <c r="O191" s="69" t="n">
        <f aca="false">IF(O$5="A",Inputs_Actuals!O128,N191)</f>
        <v>4</v>
      </c>
      <c r="P191" s="69" t="n">
        <f aca="false">IF(P$5="A",Inputs_Actuals!P128,O191)</f>
        <v>4</v>
      </c>
      <c r="Q191" s="69" t="n">
        <f aca="false">IF(Q$5="A",Inputs_Actuals!Q128,P191)</f>
        <v>4</v>
      </c>
      <c r="R191" s="69" t="n">
        <f aca="false">IF(R$5="A",Inputs_Actuals!R128,Q191)</f>
        <v>4</v>
      </c>
      <c r="S191" s="69" t="n">
        <f aca="false">IF(S$5="A",Inputs_Actuals!S128,R191)</f>
        <v>4</v>
      </c>
      <c r="T191" s="69" t="n">
        <f aca="false">IF(T$5="A",Inputs_Actuals!T128,S191)</f>
        <v>4</v>
      </c>
      <c r="U191" s="69" t="n">
        <f aca="false">IF(U$5="A",Inputs_Actuals!U128,T191)</f>
        <v>4</v>
      </c>
      <c r="V191" s="69" t="n">
        <f aca="false">IF(V$5="A",Inputs_Actuals!V128,U191)</f>
        <v>4</v>
      </c>
      <c r="W191" s="69" t="n">
        <f aca="false">IF(W$5="A",Inputs_Actuals!W128,V191*(1-Assumptions!$C$125*Assumptions!$F$170))</f>
        <v>3.6</v>
      </c>
      <c r="X191" s="69" t="n">
        <f aca="false">IF(X$5="A",Inputs_Actuals!X128,W191)</f>
        <v>3.6</v>
      </c>
      <c r="Y191" s="69" t="n">
        <f aca="false">IF(Y$5="A",Inputs_Actuals!Y128,X191)</f>
        <v>3.6</v>
      </c>
      <c r="Z191" s="69" t="n">
        <f aca="false">IF(Z$5="A",Inputs_Actuals!Z128,Y191)</f>
        <v>3.6</v>
      </c>
      <c r="AA191" s="69" t="n">
        <f aca="false">IF(AA$5="A",Inputs_Actuals!AA128,Z191)</f>
        <v>3.6</v>
      </c>
      <c r="AB191" s="69" t="n">
        <f aca="false">IF(AB$5="A",Inputs_Actuals!AB128,AA191)</f>
        <v>3.6</v>
      </c>
    </row>
    <row r="192" customFormat="false" ht="15" hidden="false" customHeight="false" outlineLevel="0" collapsed="false">
      <c r="A192" s="28" t="s">
        <v>944</v>
      </c>
      <c r="B192" s="63" t="s">
        <v>937</v>
      </c>
      <c r="C192" s="68" t="n">
        <f aca="false">P192</f>
        <v>3</v>
      </c>
      <c r="D192" s="68" t="n">
        <f aca="false">AB192</f>
        <v>2.7</v>
      </c>
      <c r="E192" s="69" t="n">
        <f aca="false">IF(E$5="A",Inputs_Actuals!E129,History!$F$80)</f>
        <v>4</v>
      </c>
      <c r="F192" s="69" t="n">
        <f aca="false">IF(F$5="A",Inputs_Actuals!F129,E192)</f>
        <v>4</v>
      </c>
      <c r="G192" s="69" t="n">
        <f aca="false">IF(G$5="A",Inputs_Actuals!G129,F192)</f>
        <v>4</v>
      </c>
      <c r="H192" s="69" t="n">
        <f aca="false">IF(H$5="A",Inputs_Actuals!H129,G192)</f>
        <v>4</v>
      </c>
      <c r="I192" s="69" t="n">
        <f aca="false">IF(I$5="A",Inputs_Actuals!I129,H192)</f>
        <v>4</v>
      </c>
      <c r="J192" s="69" t="n">
        <f aca="false">IF(J$5="A",Inputs_Actuals!J129,I192)</f>
        <v>4</v>
      </c>
      <c r="K192" s="69" t="n">
        <f aca="false">IF(K$5="A",Inputs_Actuals!K129,J192)</f>
        <v>4</v>
      </c>
      <c r="L192" s="69" t="n">
        <f aca="false">IF(L$5="A",Inputs_Actuals!L129,K192*(1-Assumptions!$C$125*Assumptions!$F$170))</f>
        <v>3</v>
      </c>
      <c r="M192" s="69" t="n">
        <f aca="false">IF(M$5="A",Inputs_Actuals!M129,L192)</f>
        <v>3</v>
      </c>
      <c r="N192" s="69" t="n">
        <f aca="false">IF(N$5="A",Inputs_Actuals!N129,M192)</f>
        <v>3</v>
      </c>
      <c r="O192" s="69" t="n">
        <f aca="false">IF(O$5="A",Inputs_Actuals!O129,N192)</f>
        <v>3</v>
      </c>
      <c r="P192" s="69" t="n">
        <f aca="false">IF(P$5="A",Inputs_Actuals!P129,O192)</f>
        <v>3</v>
      </c>
      <c r="Q192" s="69" t="n">
        <f aca="false">IF(Q$5="A",Inputs_Actuals!Q129,P192)</f>
        <v>3</v>
      </c>
      <c r="R192" s="69" t="n">
        <f aca="false">IF(R$5="A",Inputs_Actuals!R129,Q192)</f>
        <v>3</v>
      </c>
      <c r="S192" s="69" t="n">
        <f aca="false">IF(S$5="A",Inputs_Actuals!S129,R192)</f>
        <v>3</v>
      </c>
      <c r="T192" s="69" t="n">
        <f aca="false">IF(T$5="A",Inputs_Actuals!T129,S192)</f>
        <v>3</v>
      </c>
      <c r="U192" s="69" t="n">
        <f aca="false">IF(U$5="A",Inputs_Actuals!U129,T192)</f>
        <v>3</v>
      </c>
      <c r="V192" s="69" t="n">
        <f aca="false">IF(V$5="A",Inputs_Actuals!V129,U192)</f>
        <v>3</v>
      </c>
      <c r="W192" s="69" t="n">
        <f aca="false">IF(W$5="A",Inputs_Actuals!W129,V192)</f>
        <v>3</v>
      </c>
      <c r="X192" s="69" t="n">
        <f aca="false">IF(X$5="A",Inputs_Actuals!X129,W192*(1-Assumptions!$C$125*Assumptions!$F$170))</f>
        <v>2.7</v>
      </c>
      <c r="Y192" s="69" t="n">
        <f aca="false">IF(Y$5="A",Inputs_Actuals!Y129,X192)</f>
        <v>2.7</v>
      </c>
      <c r="Z192" s="69" t="n">
        <f aca="false">IF(Z$5="A",Inputs_Actuals!Z129,Y192)</f>
        <v>2.7</v>
      </c>
      <c r="AA192" s="69" t="n">
        <f aca="false">IF(AA$5="A",Inputs_Actuals!AA129,Z192)</f>
        <v>2.7</v>
      </c>
      <c r="AB192" s="69" t="n">
        <f aca="false">IF(AB$5="A",Inputs_Actuals!AB129,AA192)</f>
        <v>2.7</v>
      </c>
    </row>
    <row r="193" customFormat="false" ht="15" hidden="false" customHeight="false" outlineLevel="0" collapsed="false">
      <c r="A193" s="28" t="s">
        <v>945</v>
      </c>
      <c r="B193" s="63" t="s">
        <v>937</v>
      </c>
      <c r="C193" s="68" t="n">
        <f aca="false">P193</f>
        <v>4.5</v>
      </c>
      <c r="D193" s="68" t="n">
        <f aca="false">AB193</f>
        <v>4.05</v>
      </c>
      <c r="E193" s="69" t="n">
        <f aca="false">IF(E$5="A",Inputs_Actuals!E130,History!$F$81)</f>
        <v>5</v>
      </c>
      <c r="F193" s="69" t="n">
        <f aca="false">IF(F$5="A",Inputs_Actuals!F130,E193)</f>
        <v>5</v>
      </c>
      <c r="G193" s="69" t="n">
        <f aca="false">IF(G$5="A",Inputs_Actuals!G130,F193)</f>
        <v>5</v>
      </c>
      <c r="H193" s="69" t="n">
        <f aca="false">IF(H$5="A",Inputs_Actuals!H130,G193)</f>
        <v>5</v>
      </c>
      <c r="I193" s="69" t="n">
        <f aca="false">IF(I$5="A",Inputs_Actuals!I130,H193)</f>
        <v>5</v>
      </c>
      <c r="J193" s="69" t="n">
        <f aca="false">IF(J$5="A",Inputs_Actuals!J130,I193)</f>
        <v>5</v>
      </c>
      <c r="K193" s="69" t="n">
        <f aca="false">IF(K$5="A",Inputs_Actuals!K130,J193)</f>
        <v>5</v>
      </c>
      <c r="L193" s="69" t="n">
        <f aca="false">IF(L$5="A",Inputs_Actuals!L130,K193)</f>
        <v>5</v>
      </c>
      <c r="M193" s="69" t="n">
        <f aca="false">IF(M$5="A",Inputs_Actuals!M130,L193*(1-Assumptions!$C$125*Assumptions!$F$170))</f>
        <v>4.5</v>
      </c>
      <c r="N193" s="69" t="n">
        <f aca="false">IF(N$5="A",Inputs_Actuals!N130,M193)</f>
        <v>4.5</v>
      </c>
      <c r="O193" s="69" t="n">
        <f aca="false">IF(O$5="A",Inputs_Actuals!O130,N193)</f>
        <v>4.5</v>
      </c>
      <c r="P193" s="69" t="n">
        <f aca="false">IF(P$5="A",Inputs_Actuals!P130,O193)</f>
        <v>4.5</v>
      </c>
      <c r="Q193" s="69" t="n">
        <f aca="false">IF(Q$5="A",Inputs_Actuals!Q130,P193)</f>
        <v>4.5</v>
      </c>
      <c r="R193" s="69" t="n">
        <f aca="false">IF(R$5="A",Inputs_Actuals!R130,Q193)</f>
        <v>4.5</v>
      </c>
      <c r="S193" s="69" t="n">
        <f aca="false">IF(S$5="A",Inputs_Actuals!S130,R193)</f>
        <v>4.5</v>
      </c>
      <c r="T193" s="69" t="n">
        <f aca="false">IF(T$5="A",Inputs_Actuals!T130,S193)</f>
        <v>4.5</v>
      </c>
      <c r="U193" s="69" t="n">
        <f aca="false">IF(U$5="A",Inputs_Actuals!U130,T193)</f>
        <v>4.5</v>
      </c>
      <c r="V193" s="69" t="n">
        <f aca="false">IF(V$5="A",Inputs_Actuals!V130,U193)</f>
        <v>4.5</v>
      </c>
      <c r="W193" s="69" t="n">
        <f aca="false">IF(W$5="A",Inputs_Actuals!W130,V193)</f>
        <v>4.5</v>
      </c>
      <c r="X193" s="69" t="n">
        <f aca="false">IF(X$5="A",Inputs_Actuals!X130,W193)</f>
        <v>4.5</v>
      </c>
      <c r="Y193" s="69" t="n">
        <f aca="false">IF(Y$5="A",Inputs_Actuals!Y130,X193*(1-Assumptions!$C$125*Assumptions!$F$170))</f>
        <v>4.05</v>
      </c>
      <c r="Z193" s="69" t="n">
        <f aca="false">IF(Z$5="A",Inputs_Actuals!Z130,Y193)</f>
        <v>4.05</v>
      </c>
      <c r="AA193" s="69" t="n">
        <f aca="false">IF(AA$5="A",Inputs_Actuals!AA130,Z193)</f>
        <v>4.05</v>
      </c>
      <c r="AB193" s="69" t="n">
        <f aca="false">IF(AB$5="A",Inputs_Actuals!AB130,AA193)</f>
        <v>4.05</v>
      </c>
    </row>
    <row r="194" customFormat="false" ht="15" hidden="false" customHeight="false" outlineLevel="0" collapsed="false">
      <c r="A194" s="28" t="s">
        <v>946</v>
      </c>
      <c r="B194" s="63" t="s">
        <v>937</v>
      </c>
      <c r="C194" s="68" t="n">
        <f aca="false">P194</f>
        <v>5.4</v>
      </c>
      <c r="D194" s="68" t="n">
        <f aca="false">AB194</f>
        <v>4.86</v>
      </c>
      <c r="E194" s="69" t="n">
        <f aca="false">IF(E$5="A",Inputs_Actuals!E131,History!$F$82)</f>
        <v>6</v>
      </c>
      <c r="F194" s="69" t="n">
        <f aca="false">IF(F$5="A",Inputs_Actuals!F131,E194)</f>
        <v>6</v>
      </c>
      <c r="G194" s="69" t="n">
        <f aca="false">IF(G$5="A",Inputs_Actuals!G131,F194)</f>
        <v>6</v>
      </c>
      <c r="H194" s="69" t="n">
        <f aca="false">IF(H$5="A",Inputs_Actuals!H131,G194)</f>
        <v>6</v>
      </c>
      <c r="I194" s="69" t="n">
        <f aca="false">IF(I$5="A",Inputs_Actuals!I131,H194)</f>
        <v>6</v>
      </c>
      <c r="J194" s="69" t="n">
        <f aca="false">IF(J$5="A",Inputs_Actuals!J131,I194)</f>
        <v>6</v>
      </c>
      <c r="K194" s="69" t="n">
        <f aca="false">IF(K$5="A",Inputs_Actuals!K131,J194)</f>
        <v>6</v>
      </c>
      <c r="L194" s="69" t="n">
        <f aca="false">IF(L$5="A",Inputs_Actuals!L131,K194)</f>
        <v>6</v>
      </c>
      <c r="M194" s="69" t="n">
        <f aca="false">IF(M$5="A",Inputs_Actuals!M131,L194)</f>
        <v>6</v>
      </c>
      <c r="N194" s="69" t="n">
        <f aca="false">IF(N$5="A",Inputs_Actuals!N131,M194*(1-Assumptions!$C$125*Assumptions!$F$170))</f>
        <v>5.4</v>
      </c>
      <c r="O194" s="69" t="n">
        <f aca="false">IF(O$5="A",Inputs_Actuals!O131,N194)</f>
        <v>5.4</v>
      </c>
      <c r="P194" s="69" t="n">
        <f aca="false">IF(P$5="A",Inputs_Actuals!P131,O194)</f>
        <v>5.4</v>
      </c>
      <c r="Q194" s="69" t="n">
        <f aca="false">IF(Q$5="A",Inputs_Actuals!Q131,P194)</f>
        <v>5.4</v>
      </c>
      <c r="R194" s="69" t="n">
        <f aca="false">IF(R$5="A",Inputs_Actuals!R131,Q194)</f>
        <v>5.4</v>
      </c>
      <c r="S194" s="69" t="n">
        <f aca="false">IF(S$5="A",Inputs_Actuals!S131,R194)</f>
        <v>5.4</v>
      </c>
      <c r="T194" s="69" t="n">
        <f aca="false">IF(T$5="A",Inputs_Actuals!T131,S194)</f>
        <v>5.4</v>
      </c>
      <c r="U194" s="69" t="n">
        <f aca="false">IF(U$5="A",Inputs_Actuals!U131,T194)</f>
        <v>5.4</v>
      </c>
      <c r="V194" s="69" t="n">
        <f aca="false">IF(V$5="A",Inputs_Actuals!V131,U194)</f>
        <v>5.4</v>
      </c>
      <c r="W194" s="69" t="n">
        <f aca="false">IF(W$5="A",Inputs_Actuals!W131,V194)</f>
        <v>5.4</v>
      </c>
      <c r="X194" s="69" t="n">
        <f aca="false">IF(X$5="A",Inputs_Actuals!X131,W194)</f>
        <v>5.4</v>
      </c>
      <c r="Y194" s="69" t="n">
        <f aca="false">IF(Y$5="A",Inputs_Actuals!Y131,X194)</f>
        <v>5.4</v>
      </c>
      <c r="Z194" s="69" t="n">
        <f aca="false">IF(Z$5="A",Inputs_Actuals!Z131,Y194*(1-Assumptions!$C$125*Assumptions!$F$170))</f>
        <v>4.86</v>
      </c>
      <c r="AA194" s="69" t="n">
        <f aca="false">IF(AA$5="A",Inputs_Actuals!AA131,Z194)</f>
        <v>4.86</v>
      </c>
      <c r="AB194" s="69" t="n">
        <f aca="false">IF(AB$5="A",Inputs_Actuals!AB131,AA194)</f>
        <v>4.86</v>
      </c>
    </row>
    <row r="195" customFormat="false" ht="15" hidden="false" customHeight="false" outlineLevel="0" collapsed="false">
      <c r="A195" s="28" t="s">
        <v>947</v>
      </c>
      <c r="B195" s="63" t="s">
        <v>937</v>
      </c>
      <c r="C195" s="68" t="n">
        <f aca="false">P195</f>
        <v>2.7</v>
      </c>
      <c r="D195" s="68" t="n">
        <f aca="false">AB195</f>
        <v>2.43</v>
      </c>
      <c r="E195" s="69" t="n">
        <f aca="false">IF(E$5="A",Inputs_Actuals!E132,History!$F$83)</f>
        <v>3</v>
      </c>
      <c r="F195" s="69" t="n">
        <f aca="false">IF(F$5="A",Inputs_Actuals!F132,E195)</f>
        <v>3</v>
      </c>
      <c r="G195" s="69" t="n">
        <f aca="false">IF(G$5="A",Inputs_Actuals!G132,F195)</f>
        <v>3</v>
      </c>
      <c r="H195" s="69" t="n">
        <f aca="false">IF(H$5="A",Inputs_Actuals!H132,G195)</f>
        <v>3</v>
      </c>
      <c r="I195" s="69" t="n">
        <f aca="false">IF(I$5="A",Inputs_Actuals!I132,H195)</f>
        <v>3</v>
      </c>
      <c r="J195" s="69" t="n">
        <f aca="false">IF(J$5="A",Inputs_Actuals!J132,I195)</f>
        <v>3</v>
      </c>
      <c r="K195" s="69" t="n">
        <f aca="false">IF(K$5="A",Inputs_Actuals!K132,J195)</f>
        <v>3</v>
      </c>
      <c r="L195" s="69" t="n">
        <f aca="false">IF(L$5="A",Inputs_Actuals!L132,K195)</f>
        <v>3</v>
      </c>
      <c r="M195" s="69" t="n">
        <f aca="false">IF(M$5="A",Inputs_Actuals!M132,L195)</f>
        <v>3</v>
      </c>
      <c r="N195" s="69" t="n">
        <f aca="false">IF(N$5="A",Inputs_Actuals!N132,M195)</f>
        <v>3</v>
      </c>
      <c r="O195" s="69" t="n">
        <f aca="false">IF(O$5="A",Inputs_Actuals!O132,N195*(1-Assumptions!$C$125*Assumptions!$F$170))</f>
        <v>2.7</v>
      </c>
      <c r="P195" s="69" t="n">
        <f aca="false">IF(P$5="A",Inputs_Actuals!P132,O195)</f>
        <v>2.7</v>
      </c>
      <c r="Q195" s="69" t="n">
        <f aca="false">IF(Q$5="A",Inputs_Actuals!Q132,P195)</f>
        <v>2.7</v>
      </c>
      <c r="R195" s="69" t="n">
        <f aca="false">IF(R$5="A",Inputs_Actuals!R132,Q195)</f>
        <v>2.7</v>
      </c>
      <c r="S195" s="69" t="n">
        <f aca="false">IF(S$5="A",Inputs_Actuals!S132,R195)</f>
        <v>2.7</v>
      </c>
      <c r="T195" s="69" t="n">
        <f aca="false">IF(T$5="A",Inputs_Actuals!T132,S195)</f>
        <v>2.7</v>
      </c>
      <c r="U195" s="69" t="n">
        <f aca="false">IF(U$5="A",Inputs_Actuals!U132,T195)</f>
        <v>2.7</v>
      </c>
      <c r="V195" s="69" t="n">
        <f aca="false">IF(V$5="A",Inputs_Actuals!V132,U195)</f>
        <v>2.7</v>
      </c>
      <c r="W195" s="69" t="n">
        <f aca="false">IF(W$5="A",Inputs_Actuals!W132,V195)</f>
        <v>2.7</v>
      </c>
      <c r="X195" s="69" t="n">
        <f aca="false">IF(X$5="A",Inputs_Actuals!X132,W195)</f>
        <v>2.7</v>
      </c>
      <c r="Y195" s="69" t="n">
        <f aca="false">IF(Y$5="A",Inputs_Actuals!Y132,X195)</f>
        <v>2.7</v>
      </c>
      <c r="Z195" s="69" t="n">
        <f aca="false">IF(Z$5="A",Inputs_Actuals!Z132,Y195)</f>
        <v>2.7</v>
      </c>
      <c r="AA195" s="69" t="n">
        <f aca="false">IF(AA$5="A",Inputs_Actuals!AA132,Z195*(1-Assumptions!$C$125*Assumptions!$F$170))</f>
        <v>2.43</v>
      </c>
      <c r="AB195" s="69" t="n">
        <f aca="false">IF(AB$5="A",Inputs_Actuals!AB132,AA195)</f>
        <v>2.43</v>
      </c>
    </row>
    <row r="196" customFormat="false" ht="15" hidden="false" customHeight="false" outlineLevel="0" collapsed="false">
      <c r="A196" s="28" t="s">
        <v>948</v>
      </c>
      <c r="B196" s="63" t="s">
        <v>937</v>
      </c>
      <c r="C196" s="68" t="n">
        <f aca="false">P196</f>
        <v>4.5</v>
      </c>
      <c r="D196" s="68" t="n">
        <f aca="false">AB196</f>
        <v>4.05</v>
      </c>
      <c r="E196" s="69" t="n">
        <f aca="false">IF(E$5="A",Inputs_Actuals!E133,History!$F$84)</f>
        <v>5</v>
      </c>
      <c r="F196" s="69" t="n">
        <f aca="false">IF(F$5="A",Inputs_Actuals!F133,E196)</f>
        <v>5</v>
      </c>
      <c r="G196" s="69" t="n">
        <f aca="false">IF(G$5="A",Inputs_Actuals!G133,F196)</f>
        <v>5</v>
      </c>
      <c r="H196" s="69" t="n">
        <f aca="false">IF(H$5="A",Inputs_Actuals!H133,G196)</f>
        <v>5</v>
      </c>
      <c r="I196" s="69" t="n">
        <f aca="false">IF(I$5="A",Inputs_Actuals!I133,H196)</f>
        <v>5</v>
      </c>
      <c r="J196" s="69" t="n">
        <f aca="false">IF(J$5="A",Inputs_Actuals!J133,I196)</f>
        <v>5</v>
      </c>
      <c r="K196" s="69" t="n">
        <f aca="false">IF(K$5="A",Inputs_Actuals!K133,J196)</f>
        <v>5</v>
      </c>
      <c r="L196" s="69" t="n">
        <f aca="false">IF(L$5="A",Inputs_Actuals!L133,K196)</f>
        <v>5</v>
      </c>
      <c r="M196" s="69" t="n">
        <f aca="false">IF(M$5="A",Inputs_Actuals!M133,L196)</f>
        <v>5</v>
      </c>
      <c r="N196" s="69" t="n">
        <f aca="false">IF(N$5="A",Inputs_Actuals!N133,M196)</f>
        <v>5</v>
      </c>
      <c r="O196" s="69" t="n">
        <f aca="false">IF(O$5="A",Inputs_Actuals!O133,N196)</f>
        <v>5</v>
      </c>
      <c r="P196" s="69" t="n">
        <f aca="false">IF(P$5="A",Inputs_Actuals!P133,O196*(1-Assumptions!$C$125*Assumptions!$F$170))</f>
        <v>4.5</v>
      </c>
      <c r="Q196" s="69" t="n">
        <f aca="false">IF(Q$5="A",Inputs_Actuals!Q133,P196)</f>
        <v>4.5</v>
      </c>
      <c r="R196" s="69" t="n">
        <f aca="false">IF(R$5="A",Inputs_Actuals!R133,Q196)</f>
        <v>4.5</v>
      </c>
      <c r="S196" s="69" t="n">
        <f aca="false">IF(S$5="A",Inputs_Actuals!S133,R196)</f>
        <v>4.5</v>
      </c>
      <c r="T196" s="69" t="n">
        <f aca="false">IF(T$5="A",Inputs_Actuals!T133,S196)</f>
        <v>4.5</v>
      </c>
      <c r="U196" s="69" t="n">
        <f aca="false">IF(U$5="A",Inputs_Actuals!U133,T196)</f>
        <v>4.5</v>
      </c>
      <c r="V196" s="69" t="n">
        <f aca="false">IF(V$5="A",Inputs_Actuals!V133,U196)</f>
        <v>4.5</v>
      </c>
      <c r="W196" s="69" t="n">
        <f aca="false">IF(W$5="A",Inputs_Actuals!W133,V196)</f>
        <v>4.5</v>
      </c>
      <c r="X196" s="69" t="n">
        <f aca="false">IF(X$5="A",Inputs_Actuals!X133,W196)</f>
        <v>4.5</v>
      </c>
      <c r="Y196" s="69" t="n">
        <f aca="false">IF(Y$5="A",Inputs_Actuals!Y133,X196)</f>
        <v>4.5</v>
      </c>
      <c r="Z196" s="69" t="n">
        <f aca="false">IF(Z$5="A",Inputs_Actuals!Z133,Y196)</f>
        <v>4.5</v>
      </c>
      <c r="AA196" s="69" t="n">
        <f aca="false">IF(AA$5="A",Inputs_Actuals!AA133,Z196)</f>
        <v>4.5</v>
      </c>
      <c r="AB196" s="69" t="n">
        <f aca="false">IF(AB$5="A",Inputs_Actuals!AB133,AA196*(1-Assumptions!$C$125*Assumptions!$F$170))</f>
        <v>4.05</v>
      </c>
    </row>
    <row r="197" customFormat="false" ht="15" hidden="false" customHeight="false" outlineLevel="0" collapsed="false">
      <c r="A197" s="28" t="s">
        <v>873</v>
      </c>
      <c r="B197" s="63" t="s">
        <v>937</v>
      </c>
      <c r="C197" s="68" t="n">
        <f aca="false">P197</f>
        <v>0</v>
      </c>
      <c r="D197" s="68" t="n">
        <f aca="false">AB197</f>
        <v>0</v>
      </c>
      <c r="E197" s="69" t="n">
        <f aca="false">IF(E$5="A",Inputs_Actuals!E134,History!$F$85*(1-Assumptions!$C$125*Assumptions!$F$170))</f>
        <v>0</v>
      </c>
      <c r="F197" s="69" t="n">
        <f aca="false">IF(F$5="A",Inputs_Actuals!F134,E197)</f>
        <v>0</v>
      </c>
      <c r="G197" s="69" t="n">
        <f aca="false">IF(G$5="A",Inputs_Actuals!G134,F197)</f>
        <v>0</v>
      </c>
      <c r="H197" s="69" t="n">
        <f aca="false">IF(H$5="A",Inputs_Actuals!H134,G197)</f>
        <v>0</v>
      </c>
      <c r="I197" s="69" t="n">
        <f aca="false">IF(I$5="A",Inputs_Actuals!I134,H197)</f>
        <v>0</v>
      </c>
      <c r="J197" s="69" t="n">
        <f aca="false">IF(J$5="A",Inputs_Actuals!J134,I197)</f>
        <v>0</v>
      </c>
      <c r="K197" s="69" t="n">
        <f aca="false">IF(K$5="A",Inputs_Actuals!K134,J197)</f>
        <v>0</v>
      </c>
      <c r="L197" s="69" t="n">
        <f aca="false">IF(L$5="A",Inputs_Actuals!L134,K197)</f>
        <v>0</v>
      </c>
      <c r="M197" s="69" t="n">
        <f aca="false">IF(M$5="A",Inputs_Actuals!M134,L197)</f>
        <v>0</v>
      </c>
      <c r="N197" s="69" t="n">
        <f aca="false">IF(N$5="A",Inputs_Actuals!N134,M197)</f>
        <v>0</v>
      </c>
      <c r="O197" s="69" t="n">
        <f aca="false">IF(O$5="A",Inputs_Actuals!O134,N197)</f>
        <v>0</v>
      </c>
      <c r="P197" s="69" t="n">
        <f aca="false">IF(P$5="A",Inputs_Actuals!P134,O197)</f>
        <v>0</v>
      </c>
      <c r="Q197" s="69" t="n">
        <f aca="false">IF(Q$5="A",Inputs_Actuals!Q134,P197*(1-Assumptions!$C$125*Assumptions!$F$170))</f>
        <v>0</v>
      </c>
      <c r="R197" s="69" t="n">
        <f aca="false">IF(R$5="A",Inputs_Actuals!R134,Q197)</f>
        <v>0</v>
      </c>
      <c r="S197" s="69" t="n">
        <f aca="false">IF(S$5="A",Inputs_Actuals!S134,R197)</f>
        <v>0</v>
      </c>
      <c r="T197" s="69" t="n">
        <f aca="false">IF(T$5="A",Inputs_Actuals!T134,S197)</f>
        <v>0</v>
      </c>
      <c r="U197" s="69" t="n">
        <f aca="false">IF(U$5="A",Inputs_Actuals!U134,T197)</f>
        <v>0</v>
      </c>
      <c r="V197" s="69" t="n">
        <f aca="false">IF(V$5="A",Inputs_Actuals!V134,U197)</f>
        <v>0</v>
      </c>
      <c r="W197" s="69" t="n">
        <f aca="false">IF(W$5="A",Inputs_Actuals!W134,V197)</f>
        <v>0</v>
      </c>
      <c r="X197" s="69" t="n">
        <f aca="false">IF(X$5="A",Inputs_Actuals!X134,W197)</f>
        <v>0</v>
      </c>
      <c r="Y197" s="69" t="n">
        <f aca="false">IF(Y$5="A",Inputs_Actuals!Y134,X197)</f>
        <v>0</v>
      </c>
      <c r="Z197" s="69" t="n">
        <f aca="false">IF(Z$5="A",Inputs_Actuals!Z134,Y197)</f>
        <v>0</v>
      </c>
      <c r="AA197" s="69" t="n">
        <f aca="false">IF(AA$5="A",Inputs_Actuals!AA134,Z197)</f>
        <v>0</v>
      </c>
      <c r="AB197" s="69" t="n">
        <f aca="false">IF(AB$5="A",Inputs_Actuals!AB134,AA197)</f>
        <v>0</v>
      </c>
    </row>
    <row r="198" customFormat="false" ht="15" hidden="false" customHeight="false" outlineLevel="0" collapsed="false">
      <c r="A198" s="28" t="s">
        <v>874</v>
      </c>
      <c r="B198" s="63" t="s">
        <v>937</v>
      </c>
      <c r="C198" s="68" t="n">
        <f aca="false">P198</f>
        <v>0</v>
      </c>
      <c r="D198" s="68" t="n">
        <f aca="false">AB198</f>
        <v>0</v>
      </c>
      <c r="E198" s="69" t="n">
        <f aca="false">IF(E$5="A",Inputs_Actuals!E135,History!$F$86)</f>
        <v>1</v>
      </c>
      <c r="F198" s="69" t="n">
        <f aca="false">IF(F$5="A",Inputs_Actuals!F135,E198*(1-Assumptions!$C$125*Assumptions!$F$170))</f>
        <v>0</v>
      </c>
      <c r="G198" s="69" t="n">
        <f aca="false">IF(G$5="A",Inputs_Actuals!G135,F198)</f>
        <v>0</v>
      </c>
      <c r="H198" s="69" t="n">
        <f aca="false">IF(H$5="A",Inputs_Actuals!H135,G198)</f>
        <v>0</v>
      </c>
      <c r="I198" s="69" t="n">
        <f aca="false">IF(I$5="A",Inputs_Actuals!I135,H198)</f>
        <v>0</v>
      </c>
      <c r="J198" s="69" t="n">
        <f aca="false">IF(J$5="A",Inputs_Actuals!J135,I198)</f>
        <v>0</v>
      </c>
      <c r="K198" s="69" t="n">
        <f aca="false">IF(K$5="A",Inputs_Actuals!K135,J198)</f>
        <v>0</v>
      </c>
      <c r="L198" s="69" t="n">
        <f aca="false">IF(L$5="A",Inputs_Actuals!L135,K198)</f>
        <v>0</v>
      </c>
      <c r="M198" s="69" t="n">
        <f aca="false">IF(M$5="A",Inputs_Actuals!M135,L198)</f>
        <v>0</v>
      </c>
      <c r="N198" s="69" t="n">
        <f aca="false">IF(N$5="A",Inputs_Actuals!N135,M198)</f>
        <v>0</v>
      </c>
      <c r="O198" s="69" t="n">
        <f aca="false">IF(O$5="A",Inputs_Actuals!O135,N198)</f>
        <v>0</v>
      </c>
      <c r="P198" s="69" t="n">
        <f aca="false">IF(P$5="A",Inputs_Actuals!P135,O198)</f>
        <v>0</v>
      </c>
      <c r="Q198" s="69" t="n">
        <f aca="false">IF(Q$5="A",Inputs_Actuals!Q135,P198)</f>
        <v>0</v>
      </c>
      <c r="R198" s="69" t="n">
        <f aca="false">IF(R$5="A",Inputs_Actuals!R135,Q198*(1-Assumptions!$C$125*Assumptions!$F$170))</f>
        <v>0</v>
      </c>
      <c r="S198" s="69" t="n">
        <f aca="false">IF(S$5="A",Inputs_Actuals!S135,R198)</f>
        <v>0</v>
      </c>
      <c r="T198" s="69" t="n">
        <f aca="false">IF(T$5="A",Inputs_Actuals!T135,S198)</f>
        <v>0</v>
      </c>
      <c r="U198" s="69" t="n">
        <f aca="false">IF(U$5="A",Inputs_Actuals!U135,T198)</f>
        <v>0</v>
      </c>
      <c r="V198" s="69" t="n">
        <f aca="false">IF(V$5="A",Inputs_Actuals!V135,U198)</f>
        <v>0</v>
      </c>
      <c r="W198" s="69" t="n">
        <f aca="false">IF(W$5="A",Inputs_Actuals!W135,V198)</f>
        <v>0</v>
      </c>
      <c r="X198" s="69" t="n">
        <f aca="false">IF(X$5="A",Inputs_Actuals!X135,W198)</f>
        <v>0</v>
      </c>
      <c r="Y198" s="69" t="n">
        <f aca="false">IF(Y$5="A",Inputs_Actuals!Y135,X198)</f>
        <v>0</v>
      </c>
      <c r="Z198" s="69" t="n">
        <f aca="false">IF(Z$5="A",Inputs_Actuals!Z135,Y198)</f>
        <v>0</v>
      </c>
      <c r="AA198" s="69" t="n">
        <f aca="false">IF(AA$5="A",Inputs_Actuals!AA135,Z198)</f>
        <v>0</v>
      </c>
      <c r="AB198" s="69" t="n">
        <f aca="false">IF(AB$5="A",Inputs_Actuals!AB135,AA198)</f>
        <v>0</v>
      </c>
    </row>
    <row r="199" customFormat="false" ht="15" hidden="false" customHeight="false" outlineLevel="0" collapsed="false">
      <c r="A199" s="28" t="s">
        <v>875</v>
      </c>
      <c r="B199" s="63" t="s">
        <v>937</v>
      </c>
      <c r="C199" s="68" t="n">
        <f aca="false">P199</f>
        <v>1</v>
      </c>
      <c r="D199" s="68" t="n">
        <f aca="false">AB199</f>
        <v>0.9</v>
      </c>
      <c r="E199" s="69" t="n">
        <f aca="false">IF(E$5="A",Inputs_Actuals!E136,History!$F$87)</f>
        <v>1</v>
      </c>
      <c r="F199" s="69" t="n">
        <f aca="false">IF(F$5="A",Inputs_Actuals!F136,E199)</f>
        <v>1</v>
      </c>
      <c r="G199" s="69" t="n">
        <f aca="false">IF(G$5="A",Inputs_Actuals!G136,F199*(1-Assumptions!$C$125*Assumptions!$F$170))</f>
        <v>1</v>
      </c>
      <c r="H199" s="69" t="n">
        <f aca="false">IF(H$5="A",Inputs_Actuals!H136,G199)</f>
        <v>1</v>
      </c>
      <c r="I199" s="69" t="n">
        <f aca="false">IF(I$5="A",Inputs_Actuals!I136,H199)</f>
        <v>1</v>
      </c>
      <c r="J199" s="69" t="n">
        <f aca="false">IF(J$5="A",Inputs_Actuals!J136,I199)</f>
        <v>1</v>
      </c>
      <c r="K199" s="69" t="n">
        <f aca="false">IF(K$5="A",Inputs_Actuals!K136,J199)</f>
        <v>1</v>
      </c>
      <c r="L199" s="69" t="n">
        <f aca="false">IF(L$5="A",Inputs_Actuals!L136,K199)</f>
        <v>1</v>
      </c>
      <c r="M199" s="69" t="n">
        <f aca="false">IF(M$5="A",Inputs_Actuals!M136,L199)</f>
        <v>1</v>
      </c>
      <c r="N199" s="69" t="n">
        <f aca="false">IF(N$5="A",Inputs_Actuals!N136,M199)</f>
        <v>1</v>
      </c>
      <c r="O199" s="69" t="n">
        <f aca="false">IF(O$5="A",Inputs_Actuals!O136,N199)</f>
        <v>1</v>
      </c>
      <c r="P199" s="69" t="n">
        <f aca="false">IF(P$5="A",Inputs_Actuals!P136,O199)</f>
        <v>1</v>
      </c>
      <c r="Q199" s="69" t="n">
        <f aca="false">IF(Q$5="A",Inputs_Actuals!Q136,P199)</f>
        <v>1</v>
      </c>
      <c r="R199" s="69" t="n">
        <f aca="false">IF(R$5="A",Inputs_Actuals!R136,Q199)</f>
        <v>1</v>
      </c>
      <c r="S199" s="69" t="n">
        <f aca="false">IF(S$5="A",Inputs_Actuals!S136,R199*(1-Assumptions!$C$125*Assumptions!$F$170))</f>
        <v>0.9</v>
      </c>
      <c r="T199" s="69" t="n">
        <f aca="false">IF(T$5="A",Inputs_Actuals!T136,S199)</f>
        <v>0.9</v>
      </c>
      <c r="U199" s="69" t="n">
        <f aca="false">IF(U$5="A",Inputs_Actuals!U136,T199)</f>
        <v>0.9</v>
      </c>
      <c r="V199" s="69" t="n">
        <f aca="false">IF(V$5="A",Inputs_Actuals!V136,U199)</f>
        <v>0.9</v>
      </c>
      <c r="W199" s="69" t="n">
        <f aca="false">IF(W$5="A",Inputs_Actuals!W136,V199)</f>
        <v>0.9</v>
      </c>
      <c r="X199" s="69" t="n">
        <f aca="false">IF(X$5="A",Inputs_Actuals!X136,W199)</f>
        <v>0.9</v>
      </c>
      <c r="Y199" s="69" t="n">
        <f aca="false">IF(Y$5="A",Inputs_Actuals!Y136,X199)</f>
        <v>0.9</v>
      </c>
      <c r="Z199" s="69" t="n">
        <f aca="false">IF(Z$5="A",Inputs_Actuals!Z136,Y199)</f>
        <v>0.9</v>
      </c>
      <c r="AA199" s="69" t="n">
        <f aca="false">IF(AA$5="A",Inputs_Actuals!AA136,Z199)</f>
        <v>0.9</v>
      </c>
      <c r="AB199" s="69" t="n">
        <f aca="false">IF(AB$5="A",Inputs_Actuals!AB136,AA199)</f>
        <v>0.9</v>
      </c>
    </row>
    <row r="200" customFormat="false" ht="15" hidden="false" customHeight="false" outlineLevel="0" collapsed="false">
      <c r="A200" s="28" t="s">
        <v>876</v>
      </c>
      <c r="B200" s="63" t="s">
        <v>937</v>
      </c>
      <c r="C200" s="68" t="n">
        <f aca="false">P200</f>
        <v>4</v>
      </c>
      <c r="D200" s="68" t="n">
        <f aca="false">AB200</f>
        <v>3.6</v>
      </c>
      <c r="E200" s="69" t="n">
        <f aca="false">IF(E$5="A",Inputs_Actuals!E137,History!$F$88)</f>
        <v>4</v>
      </c>
      <c r="F200" s="69" t="n">
        <f aca="false">IF(F$5="A",Inputs_Actuals!F137,E200)</f>
        <v>4</v>
      </c>
      <c r="G200" s="69" t="n">
        <f aca="false">IF(G$5="A",Inputs_Actuals!G137,F200)</f>
        <v>4</v>
      </c>
      <c r="H200" s="69" t="n">
        <f aca="false">IF(H$5="A",Inputs_Actuals!H137,G200*(1-Assumptions!$C$125*Assumptions!$F$170))</f>
        <v>4</v>
      </c>
      <c r="I200" s="69" t="n">
        <f aca="false">IF(I$5="A",Inputs_Actuals!I137,H200)</f>
        <v>4</v>
      </c>
      <c r="J200" s="69" t="n">
        <f aca="false">IF(J$5="A",Inputs_Actuals!J137,I200)</f>
        <v>4</v>
      </c>
      <c r="K200" s="69" t="n">
        <f aca="false">IF(K$5="A",Inputs_Actuals!K137,J200)</f>
        <v>4</v>
      </c>
      <c r="L200" s="69" t="n">
        <f aca="false">IF(L$5="A",Inputs_Actuals!L137,K200)</f>
        <v>4</v>
      </c>
      <c r="M200" s="69" t="n">
        <f aca="false">IF(M$5="A",Inputs_Actuals!M137,L200)</f>
        <v>4</v>
      </c>
      <c r="N200" s="69" t="n">
        <f aca="false">IF(N$5="A",Inputs_Actuals!N137,M200)</f>
        <v>4</v>
      </c>
      <c r="O200" s="69" t="n">
        <f aca="false">IF(O$5="A",Inputs_Actuals!O137,N200)</f>
        <v>4</v>
      </c>
      <c r="P200" s="69" t="n">
        <f aca="false">IF(P$5="A",Inputs_Actuals!P137,O200)</f>
        <v>4</v>
      </c>
      <c r="Q200" s="69" t="n">
        <f aca="false">IF(Q$5="A",Inputs_Actuals!Q137,P200)</f>
        <v>4</v>
      </c>
      <c r="R200" s="69" t="n">
        <f aca="false">IF(R$5="A",Inputs_Actuals!R137,Q200)</f>
        <v>4</v>
      </c>
      <c r="S200" s="69" t="n">
        <f aca="false">IF(S$5="A",Inputs_Actuals!S137,R200)</f>
        <v>4</v>
      </c>
      <c r="T200" s="69" t="n">
        <f aca="false">IF(T$5="A",Inputs_Actuals!T137,S200*(1-Assumptions!$C$125*Assumptions!$F$170))</f>
        <v>3.6</v>
      </c>
      <c r="U200" s="69" t="n">
        <f aca="false">IF(U$5="A",Inputs_Actuals!U137,T200)</f>
        <v>3.6</v>
      </c>
      <c r="V200" s="69" t="n">
        <f aca="false">IF(V$5="A",Inputs_Actuals!V137,U200)</f>
        <v>3.6</v>
      </c>
      <c r="W200" s="69" t="n">
        <f aca="false">IF(W$5="A",Inputs_Actuals!W137,V200)</f>
        <v>3.6</v>
      </c>
      <c r="X200" s="69" t="n">
        <f aca="false">IF(X$5="A",Inputs_Actuals!X137,W200)</f>
        <v>3.6</v>
      </c>
      <c r="Y200" s="69" t="n">
        <f aca="false">IF(Y$5="A",Inputs_Actuals!Y137,X200)</f>
        <v>3.6</v>
      </c>
      <c r="Z200" s="69" t="n">
        <f aca="false">IF(Z$5="A",Inputs_Actuals!Z137,Y200)</f>
        <v>3.6</v>
      </c>
      <c r="AA200" s="69" t="n">
        <f aca="false">IF(AA$5="A",Inputs_Actuals!AA137,Z200)</f>
        <v>3.6</v>
      </c>
      <c r="AB200" s="69" t="n">
        <f aca="false">IF(AB$5="A",Inputs_Actuals!AB137,AA200)</f>
        <v>3.6</v>
      </c>
    </row>
    <row r="201" customFormat="false" ht="15" hidden="false" customHeight="false" outlineLevel="0" collapsed="false">
      <c r="A201" s="28" t="s">
        <v>877</v>
      </c>
      <c r="B201" s="63" t="s">
        <v>937</v>
      </c>
      <c r="C201" s="68" t="n">
        <f aca="false">P201</f>
        <v>2</v>
      </c>
      <c r="D201" s="68" t="n">
        <f aca="false">AB201</f>
        <v>1.8</v>
      </c>
      <c r="E201" s="69" t="n">
        <f aca="false">IF(E$5="A",Inputs_Actuals!E138,History!$F$89)</f>
        <v>3</v>
      </c>
      <c r="F201" s="69" t="n">
        <f aca="false">IF(F$5="A",Inputs_Actuals!F138,E201)</f>
        <v>3</v>
      </c>
      <c r="G201" s="69" t="n">
        <f aca="false">IF(G$5="A",Inputs_Actuals!G138,F201)</f>
        <v>3</v>
      </c>
      <c r="H201" s="69" t="n">
        <f aca="false">IF(H$5="A",Inputs_Actuals!H138,G201)</f>
        <v>3</v>
      </c>
      <c r="I201" s="69" t="n">
        <f aca="false">IF(I$5="A",Inputs_Actuals!I138,H201*(1-Assumptions!$C$125*Assumptions!$F$170))</f>
        <v>2</v>
      </c>
      <c r="J201" s="69" t="n">
        <f aca="false">IF(J$5="A",Inputs_Actuals!J138,I201)</f>
        <v>2</v>
      </c>
      <c r="K201" s="69" t="n">
        <f aca="false">IF(K$5="A",Inputs_Actuals!K138,J201)</f>
        <v>2</v>
      </c>
      <c r="L201" s="69" t="n">
        <f aca="false">IF(L$5="A",Inputs_Actuals!L138,K201)</f>
        <v>2</v>
      </c>
      <c r="M201" s="69" t="n">
        <f aca="false">IF(M$5="A",Inputs_Actuals!M138,L201)</f>
        <v>2</v>
      </c>
      <c r="N201" s="69" t="n">
        <f aca="false">IF(N$5="A",Inputs_Actuals!N138,M201)</f>
        <v>2</v>
      </c>
      <c r="O201" s="69" t="n">
        <f aca="false">IF(O$5="A",Inputs_Actuals!O138,N201)</f>
        <v>2</v>
      </c>
      <c r="P201" s="69" t="n">
        <f aca="false">IF(P$5="A",Inputs_Actuals!P138,O201)</f>
        <v>2</v>
      </c>
      <c r="Q201" s="69" t="n">
        <f aca="false">IF(Q$5="A",Inputs_Actuals!Q138,P201)</f>
        <v>2</v>
      </c>
      <c r="R201" s="69" t="n">
        <f aca="false">IF(R$5="A",Inputs_Actuals!R138,Q201)</f>
        <v>2</v>
      </c>
      <c r="S201" s="69" t="n">
        <f aca="false">IF(S$5="A",Inputs_Actuals!S138,R201)</f>
        <v>2</v>
      </c>
      <c r="T201" s="69" t="n">
        <f aca="false">IF(T$5="A",Inputs_Actuals!T138,S201)</f>
        <v>2</v>
      </c>
      <c r="U201" s="69" t="n">
        <f aca="false">IF(U$5="A",Inputs_Actuals!U138,T201*(1-Assumptions!$C$125*Assumptions!$F$170))</f>
        <v>1.8</v>
      </c>
      <c r="V201" s="69" t="n">
        <f aca="false">IF(V$5="A",Inputs_Actuals!V138,U201)</f>
        <v>1.8</v>
      </c>
      <c r="W201" s="69" t="n">
        <f aca="false">IF(W$5="A",Inputs_Actuals!W138,V201)</f>
        <v>1.8</v>
      </c>
      <c r="X201" s="69" t="n">
        <f aca="false">IF(X$5="A",Inputs_Actuals!X138,W201)</f>
        <v>1.8</v>
      </c>
      <c r="Y201" s="69" t="n">
        <f aca="false">IF(Y$5="A",Inputs_Actuals!Y138,X201)</f>
        <v>1.8</v>
      </c>
      <c r="Z201" s="69" t="n">
        <f aca="false">IF(Z$5="A",Inputs_Actuals!Z138,Y201)</f>
        <v>1.8</v>
      </c>
      <c r="AA201" s="69" t="n">
        <f aca="false">IF(AA$5="A",Inputs_Actuals!AA138,Z201)</f>
        <v>1.8</v>
      </c>
      <c r="AB201" s="69" t="n">
        <f aca="false">IF(AB$5="A",Inputs_Actuals!AB138,AA201)</f>
        <v>1.8</v>
      </c>
    </row>
    <row r="202" customFormat="false" ht="15" hidden="false" customHeight="false" outlineLevel="0" collapsed="false">
      <c r="A202" s="28" t="s">
        <v>878</v>
      </c>
      <c r="B202" s="63" t="s">
        <v>937</v>
      </c>
      <c r="C202" s="68" t="n">
        <f aca="false">P202</f>
        <v>3</v>
      </c>
      <c r="D202" s="68" t="n">
        <f aca="false">AB202</f>
        <v>2.7</v>
      </c>
      <c r="E202" s="69" t="n">
        <f aca="false">IF(E$5="A",Inputs_Actuals!E139,History!$F$90)</f>
        <v>4</v>
      </c>
      <c r="F202" s="69" t="n">
        <f aca="false">IF(F$5="A",Inputs_Actuals!F139,E202)</f>
        <v>4</v>
      </c>
      <c r="G202" s="69" t="n">
        <f aca="false">IF(G$5="A",Inputs_Actuals!G139,F202)</f>
        <v>4</v>
      </c>
      <c r="H202" s="69" t="n">
        <f aca="false">IF(H$5="A",Inputs_Actuals!H139,G202)</f>
        <v>4</v>
      </c>
      <c r="I202" s="69" t="n">
        <f aca="false">IF(I$5="A",Inputs_Actuals!I139,H202)</f>
        <v>4</v>
      </c>
      <c r="J202" s="69" t="n">
        <f aca="false">IF(J$5="A",Inputs_Actuals!J139,I202*(1-Assumptions!$C$125*Assumptions!$F$170))</f>
        <v>3</v>
      </c>
      <c r="K202" s="69" t="n">
        <f aca="false">IF(K$5="A",Inputs_Actuals!K139,J202)</f>
        <v>3</v>
      </c>
      <c r="L202" s="69" t="n">
        <f aca="false">IF(L$5="A",Inputs_Actuals!L139,K202)</f>
        <v>3</v>
      </c>
      <c r="M202" s="69" t="n">
        <f aca="false">IF(M$5="A",Inputs_Actuals!M139,L202)</f>
        <v>3</v>
      </c>
      <c r="N202" s="69" t="n">
        <f aca="false">IF(N$5="A",Inputs_Actuals!N139,M202)</f>
        <v>3</v>
      </c>
      <c r="O202" s="69" t="n">
        <f aca="false">IF(O$5="A",Inputs_Actuals!O139,N202)</f>
        <v>3</v>
      </c>
      <c r="P202" s="69" t="n">
        <f aca="false">IF(P$5="A",Inputs_Actuals!P139,O202)</f>
        <v>3</v>
      </c>
      <c r="Q202" s="69" t="n">
        <f aca="false">IF(Q$5="A",Inputs_Actuals!Q139,P202)</f>
        <v>3</v>
      </c>
      <c r="R202" s="69" t="n">
        <f aca="false">IF(R$5="A",Inputs_Actuals!R139,Q202)</f>
        <v>3</v>
      </c>
      <c r="S202" s="69" t="n">
        <f aca="false">IF(S$5="A",Inputs_Actuals!S139,R202)</f>
        <v>3</v>
      </c>
      <c r="T202" s="69" t="n">
        <f aca="false">IF(T$5="A",Inputs_Actuals!T139,S202)</f>
        <v>3</v>
      </c>
      <c r="U202" s="69" t="n">
        <f aca="false">IF(U$5="A",Inputs_Actuals!U139,T202)</f>
        <v>3</v>
      </c>
      <c r="V202" s="69" t="n">
        <f aca="false">IF(V$5="A",Inputs_Actuals!V139,U202*(1-Assumptions!$C$125*Assumptions!$F$170))</f>
        <v>2.7</v>
      </c>
      <c r="W202" s="69" t="n">
        <f aca="false">IF(W$5="A",Inputs_Actuals!W139,V202)</f>
        <v>2.7</v>
      </c>
      <c r="X202" s="69" t="n">
        <f aca="false">IF(X$5="A",Inputs_Actuals!X139,W202)</f>
        <v>2.7</v>
      </c>
      <c r="Y202" s="69" t="n">
        <f aca="false">IF(Y$5="A",Inputs_Actuals!Y139,X202)</f>
        <v>2.7</v>
      </c>
      <c r="Z202" s="69" t="n">
        <f aca="false">IF(Z$5="A",Inputs_Actuals!Z139,Y202)</f>
        <v>2.7</v>
      </c>
      <c r="AA202" s="69" t="n">
        <f aca="false">IF(AA$5="A",Inputs_Actuals!AA139,Z202)</f>
        <v>2.7</v>
      </c>
      <c r="AB202" s="69" t="n">
        <f aca="false">IF(AB$5="A",Inputs_Actuals!AB139,AA202)</f>
        <v>2.7</v>
      </c>
    </row>
    <row r="203" customFormat="false" ht="15" hidden="false" customHeight="false" outlineLevel="0" collapsed="false">
      <c r="A203" s="28" t="s">
        <v>879</v>
      </c>
      <c r="B203" s="63" t="s">
        <v>937</v>
      </c>
      <c r="C203" s="68" t="n">
        <f aca="false">P203</f>
        <v>5</v>
      </c>
      <c r="D203" s="68" t="n">
        <f aca="false">AB203</f>
        <v>4.5</v>
      </c>
      <c r="E203" s="69" t="n">
        <f aca="false">IF(E$5="A",Inputs_Actuals!E140,History!$F$91)</f>
        <v>6</v>
      </c>
      <c r="F203" s="69" t="n">
        <f aca="false">IF(F$5="A",Inputs_Actuals!F140,E203)</f>
        <v>6</v>
      </c>
      <c r="G203" s="69" t="n">
        <f aca="false">IF(G$5="A",Inputs_Actuals!G140,F203)</f>
        <v>6</v>
      </c>
      <c r="H203" s="69" t="n">
        <f aca="false">IF(H$5="A",Inputs_Actuals!H140,G203)</f>
        <v>6</v>
      </c>
      <c r="I203" s="69" t="n">
        <f aca="false">IF(I$5="A",Inputs_Actuals!I140,H203)</f>
        <v>6</v>
      </c>
      <c r="J203" s="69" t="n">
        <f aca="false">IF(J$5="A",Inputs_Actuals!J140,I203)</f>
        <v>6</v>
      </c>
      <c r="K203" s="69" t="n">
        <f aca="false">IF(K$5="A",Inputs_Actuals!K140,J203*(1-Assumptions!$C$125*Assumptions!$F$170))</f>
        <v>5</v>
      </c>
      <c r="L203" s="69" t="n">
        <f aca="false">IF(L$5="A",Inputs_Actuals!L140,K203)</f>
        <v>5</v>
      </c>
      <c r="M203" s="69" t="n">
        <f aca="false">IF(M$5="A",Inputs_Actuals!M140,L203)</f>
        <v>5</v>
      </c>
      <c r="N203" s="69" t="n">
        <f aca="false">IF(N$5="A",Inputs_Actuals!N140,M203)</f>
        <v>5</v>
      </c>
      <c r="O203" s="69" t="n">
        <f aca="false">IF(O$5="A",Inputs_Actuals!O140,N203)</f>
        <v>5</v>
      </c>
      <c r="P203" s="69" t="n">
        <f aca="false">IF(P$5="A",Inputs_Actuals!P140,O203)</f>
        <v>5</v>
      </c>
      <c r="Q203" s="69" t="n">
        <f aca="false">IF(Q$5="A",Inputs_Actuals!Q140,P203)</f>
        <v>5</v>
      </c>
      <c r="R203" s="69" t="n">
        <f aca="false">IF(R$5="A",Inputs_Actuals!R140,Q203)</f>
        <v>5</v>
      </c>
      <c r="S203" s="69" t="n">
        <f aca="false">IF(S$5="A",Inputs_Actuals!S140,R203)</f>
        <v>5</v>
      </c>
      <c r="T203" s="69" t="n">
        <f aca="false">IF(T$5="A",Inputs_Actuals!T140,S203)</f>
        <v>5</v>
      </c>
      <c r="U203" s="69" t="n">
        <f aca="false">IF(U$5="A",Inputs_Actuals!U140,T203)</f>
        <v>5</v>
      </c>
      <c r="V203" s="69" t="n">
        <f aca="false">IF(V$5="A",Inputs_Actuals!V140,U203)</f>
        <v>5</v>
      </c>
      <c r="W203" s="69" t="n">
        <f aca="false">IF(W$5="A",Inputs_Actuals!W140,V203*(1-Assumptions!$C$125*Assumptions!$F$170))</f>
        <v>4.5</v>
      </c>
      <c r="X203" s="69" t="n">
        <f aca="false">IF(X$5="A",Inputs_Actuals!X140,W203)</f>
        <v>4.5</v>
      </c>
      <c r="Y203" s="69" t="n">
        <f aca="false">IF(Y$5="A",Inputs_Actuals!Y140,X203)</f>
        <v>4.5</v>
      </c>
      <c r="Z203" s="69" t="n">
        <f aca="false">IF(Z$5="A",Inputs_Actuals!Z140,Y203)</f>
        <v>4.5</v>
      </c>
      <c r="AA203" s="69" t="n">
        <f aca="false">IF(AA$5="A",Inputs_Actuals!AA140,Z203)</f>
        <v>4.5</v>
      </c>
      <c r="AB203" s="69" t="n">
        <f aca="false">IF(AB$5="A",Inputs_Actuals!AB140,AA203)</f>
        <v>4.5</v>
      </c>
    </row>
    <row r="204" customFormat="false" ht="15" hidden="false" customHeight="false" outlineLevel="0" collapsed="false">
      <c r="A204" s="28" t="s">
        <v>880</v>
      </c>
      <c r="B204" s="63" t="s">
        <v>937</v>
      </c>
      <c r="C204" s="68" t="n">
        <f aca="false">P204</f>
        <v>1</v>
      </c>
      <c r="D204" s="68" t="n">
        <f aca="false">AB204</f>
        <v>0.9</v>
      </c>
      <c r="E204" s="69" t="n">
        <f aca="false">IF(E$5="A",Inputs_Actuals!E141,History!$F$92)</f>
        <v>1</v>
      </c>
      <c r="F204" s="69" t="n">
        <f aca="false">IF(F$5="A",Inputs_Actuals!F141,E204)</f>
        <v>1</v>
      </c>
      <c r="G204" s="69" t="n">
        <f aca="false">IF(G$5="A",Inputs_Actuals!G141,F204)</f>
        <v>1</v>
      </c>
      <c r="H204" s="69" t="n">
        <f aca="false">IF(H$5="A",Inputs_Actuals!H141,G204)</f>
        <v>1</v>
      </c>
      <c r="I204" s="69" t="n">
        <f aca="false">IF(I$5="A",Inputs_Actuals!I141,H204)</f>
        <v>1</v>
      </c>
      <c r="J204" s="69" t="n">
        <f aca="false">IF(J$5="A",Inputs_Actuals!J141,I204)</f>
        <v>1</v>
      </c>
      <c r="K204" s="69" t="n">
        <f aca="false">IF(K$5="A",Inputs_Actuals!K141,J204)</f>
        <v>1</v>
      </c>
      <c r="L204" s="69" t="n">
        <f aca="false">IF(L$5="A",Inputs_Actuals!L141,K204*(1-Assumptions!$C$125*Assumptions!$F$170))</f>
        <v>1</v>
      </c>
      <c r="M204" s="69" t="n">
        <f aca="false">IF(M$5="A",Inputs_Actuals!M141,L204)</f>
        <v>1</v>
      </c>
      <c r="N204" s="69" t="n">
        <f aca="false">IF(N$5="A",Inputs_Actuals!N141,M204)</f>
        <v>1</v>
      </c>
      <c r="O204" s="69" t="n">
        <f aca="false">IF(O$5="A",Inputs_Actuals!O141,N204)</f>
        <v>1</v>
      </c>
      <c r="P204" s="69" t="n">
        <f aca="false">IF(P$5="A",Inputs_Actuals!P141,O204)</f>
        <v>1</v>
      </c>
      <c r="Q204" s="69" t="n">
        <f aca="false">IF(Q$5="A",Inputs_Actuals!Q141,P204)</f>
        <v>1</v>
      </c>
      <c r="R204" s="69" t="n">
        <f aca="false">IF(R$5="A",Inputs_Actuals!R141,Q204)</f>
        <v>1</v>
      </c>
      <c r="S204" s="69" t="n">
        <f aca="false">IF(S$5="A",Inputs_Actuals!S141,R204)</f>
        <v>1</v>
      </c>
      <c r="T204" s="69" t="n">
        <f aca="false">IF(T$5="A",Inputs_Actuals!T141,S204)</f>
        <v>1</v>
      </c>
      <c r="U204" s="69" t="n">
        <f aca="false">IF(U$5="A",Inputs_Actuals!U141,T204)</f>
        <v>1</v>
      </c>
      <c r="V204" s="69" t="n">
        <f aca="false">IF(V$5="A",Inputs_Actuals!V141,U204)</f>
        <v>1</v>
      </c>
      <c r="W204" s="69" t="n">
        <f aca="false">IF(W$5="A",Inputs_Actuals!W141,V204)</f>
        <v>1</v>
      </c>
      <c r="X204" s="69" t="n">
        <f aca="false">IF(X$5="A",Inputs_Actuals!X141,W204*(1-Assumptions!$C$125*Assumptions!$F$170))</f>
        <v>0.9</v>
      </c>
      <c r="Y204" s="69" t="n">
        <f aca="false">IF(Y$5="A",Inputs_Actuals!Y141,X204)</f>
        <v>0.9</v>
      </c>
      <c r="Z204" s="69" t="n">
        <f aca="false">IF(Z$5="A",Inputs_Actuals!Z141,Y204)</f>
        <v>0.9</v>
      </c>
      <c r="AA204" s="69" t="n">
        <f aca="false">IF(AA$5="A",Inputs_Actuals!AA141,Z204)</f>
        <v>0.9</v>
      </c>
      <c r="AB204" s="69" t="n">
        <f aca="false">IF(AB$5="A",Inputs_Actuals!AB141,AA204)</f>
        <v>0.9</v>
      </c>
    </row>
    <row r="205" customFormat="false" ht="15" hidden="false" customHeight="false" outlineLevel="0" collapsed="false">
      <c r="A205" s="28" t="s">
        <v>881</v>
      </c>
      <c r="B205" s="63" t="s">
        <v>937</v>
      </c>
      <c r="C205" s="68" t="n">
        <f aca="false">P205</f>
        <v>5.4</v>
      </c>
      <c r="D205" s="68" t="n">
        <f aca="false">AB205</f>
        <v>4.86</v>
      </c>
      <c r="E205" s="69" t="n">
        <f aca="false">IF(E$5="A",Inputs_Actuals!E142,History!$F$93)</f>
        <v>6</v>
      </c>
      <c r="F205" s="69" t="n">
        <f aca="false">IF(F$5="A",Inputs_Actuals!F142,E205)</f>
        <v>6</v>
      </c>
      <c r="G205" s="69" t="n">
        <f aca="false">IF(G$5="A",Inputs_Actuals!G142,F205)</f>
        <v>6</v>
      </c>
      <c r="H205" s="69" t="n">
        <f aca="false">IF(H$5="A",Inputs_Actuals!H142,G205)</f>
        <v>6</v>
      </c>
      <c r="I205" s="69" t="n">
        <f aca="false">IF(I$5="A",Inputs_Actuals!I142,H205)</f>
        <v>6</v>
      </c>
      <c r="J205" s="69" t="n">
        <f aca="false">IF(J$5="A",Inputs_Actuals!J142,I205)</f>
        <v>6</v>
      </c>
      <c r="K205" s="69" t="n">
        <f aca="false">IF(K$5="A",Inputs_Actuals!K142,J205)</f>
        <v>6</v>
      </c>
      <c r="L205" s="69" t="n">
        <f aca="false">IF(L$5="A",Inputs_Actuals!L142,K205)</f>
        <v>6</v>
      </c>
      <c r="M205" s="69" t="n">
        <f aca="false">IF(M$5="A",Inputs_Actuals!M142,L205*(1-Assumptions!$C$125*Assumptions!$F$170))</f>
        <v>5.4</v>
      </c>
      <c r="N205" s="69" t="n">
        <f aca="false">IF(N$5="A",Inputs_Actuals!N142,M205)</f>
        <v>5.4</v>
      </c>
      <c r="O205" s="69" t="n">
        <f aca="false">IF(O$5="A",Inputs_Actuals!O142,N205)</f>
        <v>5.4</v>
      </c>
      <c r="P205" s="69" t="n">
        <f aca="false">IF(P$5="A",Inputs_Actuals!P142,O205)</f>
        <v>5.4</v>
      </c>
      <c r="Q205" s="69" t="n">
        <f aca="false">IF(Q$5="A",Inputs_Actuals!Q142,P205)</f>
        <v>5.4</v>
      </c>
      <c r="R205" s="69" t="n">
        <f aca="false">IF(R$5="A",Inputs_Actuals!R142,Q205)</f>
        <v>5.4</v>
      </c>
      <c r="S205" s="69" t="n">
        <f aca="false">IF(S$5="A",Inputs_Actuals!S142,R205)</f>
        <v>5.4</v>
      </c>
      <c r="T205" s="69" t="n">
        <f aca="false">IF(T$5="A",Inputs_Actuals!T142,S205)</f>
        <v>5.4</v>
      </c>
      <c r="U205" s="69" t="n">
        <f aca="false">IF(U$5="A",Inputs_Actuals!U142,T205)</f>
        <v>5.4</v>
      </c>
      <c r="V205" s="69" t="n">
        <f aca="false">IF(V$5="A",Inputs_Actuals!V142,U205)</f>
        <v>5.4</v>
      </c>
      <c r="W205" s="69" t="n">
        <f aca="false">IF(W$5="A",Inputs_Actuals!W142,V205)</f>
        <v>5.4</v>
      </c>
      <c r="X205" s="69" t="n">
        <f aca="false">IF(X$5="A",Inputs_Actuals!X142,W205)</f>
        <v>5.4</v>
      </c>
      <c r="Y205" s="69" t="n">
        <f aca="false">IF(Y$5="A",Inputs_Actuals!Y142,X205*(1-Assumptions!$C$125*Assumptions!$F$170))</f>
        <v>4.86</v>
      </c>
      <c r="Z205" s="69" t="n">
        <f aca="false">IF(Z$5="A",Inputs_Actuals!Z142,Y205)</f>
        <v>4.86</v>
      </c>
      <c r="AA205" s="69" t="n">
        <f aca="false">IF(AA$5="A",Inputs_Actuals!AA142,Z205)</f>
        <v>4.86</v>
      </c>
      <c r="AB205" s="69" t="n">
        <f aca="false">IF(AB$5="A",Inputs_Actuals!AB142,AA205)</f>
        <v>4.86</v>
      </c>
    </row>
    <row r="206" customFormat="false" ht="15" hidden="false" customHeight="false" outlineLevel="0" collapsed="false">
      <c r="A206" s="28" t="s">
        <v>882</v>
      </c>
      <c r="B206" s="63" t="s">
        <v>937</v>
      </c>
      <c r="C206" s="68" t="n">
        <f aca="false">P206</f>
        <v>2.7</v>
      </c>
      <c r="D206" s="68" t="n">
        <f aca="false">AB206</f>
        <v>2.43</v>
      </c>
      <c r="E206" s="69" t="n">
        <f aca="false">IF(E$5="A",Inputs_Actuals!E143,History!$F$94)</f>
        <v>3</v>
      </c>
      <c r="F206" s="69" t="n">
        <f aca="false">IF(F$5="A",Inputs_Actuals!F143,E206)</f>
        <v>3</v>
      </c>
      <c r="G206" s="69" t="n">
        <f aca="false">IF(G$5="A",Inputs_Actuals!G143,F206)</f>
        <v>3</v>
      </c>
      <c r="H206" s="69" t="n">
        <f aca="false">IF(H$5="A",Inputs_Actuals!H143,G206)</f>
        <v>3</v>
      </c>
      <c r="I206" s="69" t="n">
        <f aca="false">IF(I$5="A",Inputs_Actuals!I143,H206)</f>
        <v>3</v>
      </c>
      <c r="J206" s="69" t="n">
        <f aca="false">IF(J$5="A",Inputs_Actuals!J143,I206)</f>
        <v>3</v>
      </c>
      <c r="K206" s="69" t="n">
        <f aca="false">IF(K$5="A",Inputs_Actuals!K143,J206)</f>
        <v>3</v>
      </c>
      <c r="L206" s="69" t="n">
        <f aca="false">IF(L$5="A",Inputs_Actuals!L143,K206)</f>
        <v>3</v>
      </c>
      <c r="M206" s="69" t="n">
        <f aca="false">IF(M$5="A",Inputs_Actuals!M143,L206)</f>
        <v>3</v>
      </c>
      <c r="N206" s="69" t="n">
        <f aca="false">IF(N$5="A",Inputs_Actuals!N143,M206*(1-Assumptions!$C$125*Assumptions!$F$170))</f>
        <v>2.7</v>
      </c>
      <c r="O206" s="69" t="n">
        <f aca="false">IF(O$5="A",Inputs_Actuals!O143,N206)</f>
        <v>2.7</v>
      </c>
      <c r="P206" s="69" t="n">
        <f aca="false">IF(P$5="A",Inputs_Actuals!P143,O206)</f>
        <v>2.7</v>
      </c>
      <c r="Q206" s="69" t="n">
        <f aca="false">IF(Q$5="A",Inputs_Actuals!Q143,P206)</f>
        <v>2.7</v>
      </c>
      <c r="R206" s="69" t="n">
        <f aca="false">IF(R$5="A",Inputs_Actuals!R143,Q206)</f>
        <v>2.7</v>
      </c>
      <c r="S206" s="69" t="n">
        <f aca="false">IF(S$5="A",Inputs_Actuals!S143,R206)</f>
        <v>2.7</v>
      </c>
      <c r="T206" s="69" t="n">
        <f aca="false">IF(T$5="A",Inputs_Actuals!T143,S206)</f>
        <v>2.7</v>
      </c>
      <c r="U206" s="69" t="n">
        <f aca="false">IF(U$5="A",Inputs_Actuals!U143,T206)</f>
        <v>2.7</v>
      </c>
      <c r="V206" s="69" t="n">
        <f aca="false">IF(V$5="A",Inputs_Actuals!V143,U206)</f>
        <v>2.7</v>
      </c>
      <c r="W206" s="69" t="n">
        <f aca="false">IF(W$5="A",Inputs_Actuals!W143,V206)</f>
        <v>2.7</v>
      </c>
      <c r="X206" s="69" t="n">
        <f aca="false">IF(X$5="A",Inputs_Actuals!X143,W206)</f>
        <v>2.7</v>
      </c>
      <c r="Y206" s="69" t="n">
        <f aca="false">IF(Y$5="A",Inputs_Actuals!Y143,X206)</f>
        <v>2.7</v>
      </c>
      <c r="Z206" s="69" t="n">
        <f aca="false">IF(Z$5="A",Inputs_Actuals!Z143,Y206*(1-Assumptions!$C$125*Assumptions!$F$170))</f>
        <v>2.43</v>
      </c>
      <c r="AA206" s="69" t="n">
        <f aca="false">IF(AA$5="A",Inputs_Actuals!AA143,Z206)</f>
        <v>2.43</v>
      </c>
      <c r="AB206" s="69" t="n">
        <f aca="false">IF(AB$5="A",Inputs_Actuals!AB143,AA206)</f>
        <v>2.43</v>
      </c>
    </row>
    <row r="207" customFormat="false" ht="15" hidden="false" customHeight="false" outlineLevel="0" collapsed="false">
      <c r="A207" s="28" t="s">
        <v>883</v>
      </c>
      <c r="B207" s="63" t="s">
        <v>937</v>
      </c>
      <c r="C207" s="68" t="n">
        <f aca="false">P207</f>
        <v>3.6</v>
      </c>
      <c r="D207" s="68" t="n">
        <f aca="false">AB207</f>
        <v>3.24</v>
      </c>
      <c r="E207" s="69" t="n">
        <f aca="false">IF(E$5="A",Inputs_Actuals!E144,History!$F$95)</f>
        <v>4</v>
      </c>
      <c r="F207" s="69" t="n">
        <f aca="false">IF(F$5="A",Inputs_Actuals!F144,E207)</f>
        <v>4</v>
      </c>
      <c r="G207" s="69" t="n">
        <f aca="false">IF(G$5="A",Inputs_Actuals!G144,F207)</f>
        <v>4</v>
      </c>
      <c r="H207" s="69" t="n">
        <f aca="false">IF(H$5="A",Inputs_Actuals!H144,G207)</f>
        <v>4</v>
      </c>
      <c r="I207" s="69" t="n">
        <f aca="false">IF(I$5="A",Inputs_Actuals!I144,H207)</f>
        <v>4</v>
      </c>
      <c r="J207" s="69" t="n">
        <f aca="false">IF(J$5="A",Inputs_Actuals!J144,I207)</f>
        <v>4</v>
      </c>
      <c r="K207" s="69" t="n">
        <f aca="false">IF(K$5="A",Inputs_Actuals!K144,J207)</f>
        <v>4</v>
      </c>
      <c r="L207" s="69" t="n">
        <f aca="false">IF(L$5="A",Inputs_Actuals!L144,K207)</f>
        <v>4</v>
      </c>
      <c r="M207" s="69" t="n">
        <f aca="false">IF(M$5="A",Inputs_Actuals!M144,L207)</f>
        <v>4</v>
      </c>
      <c r="N207" s="69" t="n">
        <f aca="false">IF(N$5="A",Inputs_Actuals!N144,M207)</f>
        <v>4</v>
      </c>
      <c r="O207" s="69" t="n">
        <f aca="false">IF(O$5="A",Inputs_Actuals!O144,N207*(1-Assumptions!$C$125*Assumptions!$F$170))</f>
        <v>3.6</v>
      </c>
      <c r="P207" s="69" t="n">
        <f aca="false">IF(P$5="A",Inputs_Actuals!P144,O207)</f>
        <v>3.6</v>
      </c>
      <c r="Q207" s="69" t="n">
        <f aca="false">IF(Q$5="A",Inputs_Actuals!Q144,P207)</f>
        <v>3.6</v>
      </c>
      <c r="R207" s="69" t="n">
        <f aca="false">IF(R$5="A",Inputs_Actuals!R144,Q207)</f>
        <v>3.6</v>
      </c>
      <c r="S207" s="69" t="n">
        <f aca="false">IF(S$5="A",Inputs_Actuals!S144,R207)</f>
        <v>3.6</v>
      </c>
      <c r="T207" s="69" t="n">
        <f aca="false">IF(T$5="A",Inputs_Actuals!T144,S207)</f>
        <v>3.6</v>
      </c>
      <c r="U207" s="69" t="n">
        <f aca="false">IF(U$5="A",Inputs_Actuals!U144,T207)</f>
        <v>3.6</v>
      </c>
      <c r="V207" s="69" t="n">
        <f aca="false">IF(V$5="A",Inputs_Actuals!V144,U207)</f>
        <v>3.6</v>
      </c>
      <c r="W207" s="69" t="n">
        <f aca="false">IF(W$5="A",Inputs_Actuals!W144,V207)</f>
        <v>3.6</v>
      </c>
      <c r="X207" s="69" t="n">
        <f aca="false">IF(X$5="A",Inputs_Actuals!X144,W207)</f>
        <v>3.6</v>
      </c>
      <c r="Y207" s="69" t="n">
        <f aca="false">IF(Y$5="A",Inputs_Actuals!Y144,X207)</f>
        <v>3.6</v>
      </c>
      <c r="Z207" s="69" t="n">
        <f aca="false">IF(Z$5="A",Inputs_Actuals!Z144,Y207)</f>
        <v>3.6</v>
      </c>
      <c r="AA207" s="69" t="n">
        <f aca="false">IF(AA$5="A",Inputs_Actuals!AA144,Z207*(1-Assumptions!$C$125*Assumptions!$F$170))</f>
        <v>3.24</v>
      </c>
      <c r="AB207" s="69" t="n">
        <f aca="false">IF(AB$5="A",Inputs_Actuals!AB144,AA207)</f>
        <v>3.24</v>
      </c>
    </row>
    <row r="208" customFormat="false" ht="15" hidden="false" customHeight="false" outlineLevel="0" collapsed="false">
      <c r="A208" s="28" t="s">
        <v>884</v>
      </c>
      <c r="B208" s="63" t="s">
        <v>937</v>
      </c>
      <c r="C208" s="68" t="n">
        <f aca="false">P208</f>
        <v>1.8</v>
      </c>
      <c r="D208" s="68" t="n">
        <f aca="false">AB208</f>
        <v>1.62</v>
      </c>
      <c r="E208" s="69" t="n">
        <f aca="false">IF(E$5="A",Inputs_Actuals!E145,History!$F$96)</f>
        <v>2</v>
      </c>
      <c r="F208" s="69" t="n">
        <f aca="false">IF(F$5="A",Inputs_Actuals!F145,E208)</f>
        <v>2</v>
      </c>
      <c r="G208" s="69" t="n">
        <f aca="false">IF(G$5="A",Inputs_Actuals!G145,F208)</f>
        <v>2</v>
      </c>
      <c r="H208" s="69" t="n">
        <f aca="false">IF(H$5="A",Inputs_Actuals!H145,G208)</f>
        <v>2</v>
      </c>
      <c r="I208" s="69" t="n">
        <f aca="false">IF(I$5="A",Inputs_Actuals!I145,H208)</f>
        <v>2</v>
      </c>
      <c r="J208" s="69" t="n">
        <f aca="false">IF(J$5="A",Inputs_Actuals!J145,I208)</f>
        <v>2</v>
      </c>
      <c r="K208" s="69" t="n">
        <f aca="false">IF(K$5="A",Inputs_Actuals!K145,J208)</f>
        <v>2</v>
      </c>
      <c r="L208" s="69" t="n">
        <f aca="false">IF(L$5="A",Inputs_Actuals!L145,K208)</f>
        <v>2</v>
      </c>
      <c r="M208" s="69" t="n">
        <f aca="false">IF(M$5="A",Inputs_Actuals!M145,L208)</f>
        <v>2</v>
      </c>
      <c r="N208" s="69" t="n">
        <f aca="false">IF(N$5="A",Inputs_Actuals!N145,M208)</f>
        <v>2</v>
      </c>
      <c r="O208" s="69" t="n">
        <f aca="false">IF(O$5="A",Inputs_Actuals!O145,N208)</f>
        <v>2</v>
      </c>
      <c r="P208" s="69" t="n">
        <f aca="false">IF(P$5="A",Inputs_Actuals!P145,O208*(1-Assumptions!$C$125*Assumptions!$F$170))</f>
        <v>1.8</v>
      </c>
      <c r="Q208" s="69" t="n">
        <f aca="false">IF(Q$5="A",Inputs_Actuals!Q145,P208)</f>
        <v>1.8</v>
      </c>
      <c r="R208" s="69" t="n">
        <f aca="false">IF(R$5="A",Inputs_Actuals!R145,Q208)</f>
        <v>1.8</v>
      </c>
      <c r="S208" s="69" t="n">
        <f aca="false">IF(S$5="A",Inputs_Actuals!S145,R208)</f>
        <v>1.8</v>
      </c>
      <c r="T208" s="69" t="n">
        <f aca="false">IF(T$5="A",Inputs_Actuals!T145,S208)</f>
        <v>1.8</v>
      </c>
      <c r="U208" s="69" t="n">
        <f aca="false">IF(U$5="A",Inputs_Actuals!U145,T208)</f>
        <v>1.8</v>
      </c>
      <c r="V208" s="69" t="n">
        <f aca="false">IF(V$5="A",Inputs_Actuals!V145,U208)</f>
        <v>1.8</v>
      </c>
      <c r="W208" s="69" t="n">
        <f aca="false">IF(W$5="A",Inputs_Actuals!W145,V208)</f>
        <v>1.8</v>
      </c>
      <c r="X208" s="69" t="n">
        <f aca="false">IF(X$5="A",Inputs_Actuals!X145,W208)</f>
        <v>1.8</v>
      </c>
      <c r="Y208" s="69" t="n">
        <f aca="false">IF(Y$5="A",Inputs_Actuals!Y145,X208)</f>
        <v>1.8</v>
      </c>
      <c r="Z208" s="69" t="n">
        <f aca="false">IF(Z$5="A",Inputs_Actuals!Z145,Y208)</f>
        <v>1.8</v>
      </c>
      <c r="AA208" s="69" t="n">
        <f aca="false">IF(AA$5="A",Inputs_Actuals!AA145,Z208)</f>
        <v>1.8</v>
      </c>
      <c r="AB208" s="69" t="n">
        <f aca="false">IF(AB$5="A",Inputs_Actuals!AB145,AA208*(1-Assumptions!$C$125*Assumptions!$F$170))</f>
        <v>1.62</v>
      </c>
    </row>
    <row r="209" customFormat="false" ht="15" hidden="false" customHeight="false" outlineLevel="0" collapsed="false">
      <c r="A209" s="28" t="s">
        <v>885</v>
      </c>
      <c r="B209" s="63" t="s">
        <v>937</v>
      </c>
      <c r="C209" s="68" t="n">
        <f aca="false">P209</f>
        <v>4</v>
      </c>
      <c r="D209" s="68" t="n">
        <f aca="false">AB209</f>
        <v>3.6</v>
      </c>
      <c r="E209" s="69" t="n">
        <f aca="false">IF(E$5="A",Inputs_Actuals!E146,History!$F$97*(1-Assumptions!$C$124*Assumptions!$F$170))</f>
        <v>4</v>
      </c>
      <c r="F209" s="69" t="n">
        <f aca="false">IF(F$5="A",Inputs_Actuals!F146,E209)</f>
        <v>4</v>
      </c>
      <c r="G209" s="69" t="n">
        <f aca="false">IF(G$5="A",Inputs_Actuals!G146,F209)</f>
        <v>4</v>
      </c>
      <c r="H209" s="69" t="n">
        <f aca="false">IF(H$5="A",Inputs_Actuals!H146,G209)</f>
        <v>4</v>
      </c>
      <c r="I209" s="69" t="n">
        <f aca="false">IF(I$5="A",Inputs_Actuals!I146,H209)</f>
        <v>4</v>
      </c>
      <c r="J209" s="69" t="n">
        <f aca="false">IF(J$5="A",Inputs_Actuals!J146,I209)</f>
        <v>4</v>
      </c>
      <c r="K209" s="69" t="n">
        <f aca="false">IF(K$5="A",Inputs_Actuals!K146,J209)</f>
        <v>4</v>
      </c>
      <c r="L209" s="69" t="n">
        <f aca="false">IF(L$5="A",Inputs_Actuals!L146,K209)</f>
        <v>4</v>
      </c>
      <c r="M209" s="69" t="n">
        <f aca="false">IF(M$5="A",Inputs_Actuals!M146,L209)</f>
        <v>4</v>
      </c>
      <c r="N209" s="69" t="n">
        <f aca="false">IF(N$5="A",Inputs_Actuals!N146,M209)</f>
        <v>4</v>
      </c>
      <c r="O209" s="69" t="n">
        <f aca="false">IF(O$5="A",Inputs_Actuals!O146,N209)</f>
        <v>4</v>
      </c>
      <c r="P209" s="69" t="n">
        <f aca="false">IF(P$5="A",Inputs_Actuals!P146,O209)</f>
        <v>4</v>
      </c>
      <c r="Q209" s="69" t="n">
        <f aca="false">IF(Q$5="A",Inputs_Actuals!Q146,P209*(1-Assumptions!$C$125*Assumptions!$F$170))</f>
        <v>3.6</v>
      </c>
      <c r="R209" s="69" t="n">
        <f aca="false">IF(R$5="A",Inputs_Actuals!R146,Q209)</f>
        <v>3.6</v>
      </c>
      <c r="S209" s="69" t="n">
        <f aca="false">IF(S$5="A",Inputs_Actuals!S146,R209)</f>
        <v>3.6</v>
      </c>
      <c r="T209" s="69" t="n">
        <f aca="false">IF(T$5="A",Inputs_Actuals!T146,S209)</f>
        <v>3.6</v>
      </c>
      <c r="U209" s="69" t="n">
        <f aca="false">IF(U$5="A",Inputs_Actuals!U146,T209)</f>
        <v>3.6</v>
      </c>
      <c r="V209" s="69" t="n">
        <f aca="false">IF(V$5="A",Inputs_Actuals!V146,U209)</f>
        <v>3.6</v>
      </c>
      <c r="W209" s="69" t="n">
        <f aca="false">IF(W$5="A",Inputs_Actuals!W146,V209)</f>
        <v>3.6</v>
      </c>
      <c r="X209" s="69" t="n">
        <f aca="false">IF(X$5="A",Inputs_Actuals!X146,W209)</f>
        <v>3.6</v>
      </c>
      <c r="Y209" s="69" t="n">
        <f aca="false">IF(Y$5="A",Inputs_Actuals!Y146,X209)</f>
        <v>3.6</v>
      </c>
      <c r="Z209" s="69" t="n">
        <f aca="false">IF(Z$5="A",Inputs_Actuals!Z146,Y209)</f>
        <v>3.6</v>
      </c>
      <c r="AA209" s="69" t="n">
        <f aca="false">IF(AA$5="A",Inputs_Actuals!AA146,Z209)</f>
        <v>3.6</v>
      </c>
      <c r="AB209" s="69" t="n">
        <f aca="false">IF(AB$5="A",Inputs_Actuals!AB146,AA209)</f>
        <v>3.6</v>
      </c>
    </row>
    <row r="210" customFormat="false" ht="15" hidden="false" customHeight="false" outlineLevel="0" collapsed="false">
      <c r="A210" s="28" t="s">
        <v>886</v>
      </c>
      <c r="B210" s="63" t="s">
        <v>937</v>
      </c>
      <c r="C210" s="68" t="n">
        <f aca="false">P210</f>
        <v>1</v>
      </c>
      <c r="D210" s="68" t="n">
        <f aca="false">AB210</f>
        <v>0.9</v>
      </c>
      <c r="E210" s="69" t="n">
        <f aca="false">IF(E$5="A",Inputs_Actuals!E147,History!$F$98)</f>
        <v>1</v>
      </c>
      <c r="F210" s="69" t="n">
        <f aca="false">IF(F$5="A",Inputs_Actuals!F147,E210*(1-Assumptions!$C$124*Assumptions!$F$170))</f>
        <v>1</v>
      </c>
      <c r="G210" s="69" t="n">
        <f aca="false">IF(G$5="A",Inputs_Actuals!G147,F210)</f>
        <v>1</v>
      </c>
      <c r="H210" s="69" t="n">
        <f aca="false">IF(H$5="A",Inputs_Actuals!H147,G210)</f>
        <v>1</v>
      </c>
      <c r="I210" s="69" t="n">
        <f aca="false">IF(I$5="A",Inputs_Actuals!I147,H210)</f>
        <v>1</v>
      </c>
      <c r="J210" s="69" t="n">
        <f aca="false">IF(J$5="A",Inputs_Actuals!J147,I210)</f>
        <v>1</v>
      </c>
      <c r="K210" s="69" t="n">
        <f aca="false">IF(K$5="A",Inputs_Actuals!K147,J210)</f>
        <v>1</v>
      </c>
      <c r="L210" s="69" t="n">
        <f aca="false">IF(L$5="A",Inputs_Actuals!L147,K210)</f>
        <v>1</v>
      </c>
      <c r="M210" s="69" t="n">
        <f aca="false">IF(M$5="A",Inputs_Actuals!M147,L210)</f>
        <v>1</v>
      </c>
      <c r="N210" s="69" t="n">
        <f aca="false">IF(N$5="A",Inputs_Actuals!N147,M210)</f>
        <v>1</v>
      </c>
      <c r="O210" s="69" t="n">
        <f aca="false">IF(O$5="A",Inputs_Actuals!O147,N210)</f>
        <v>1</v>
      </c>
      <c r="P210" s="69" t="n">
        <f aca="false">IF(P$5="A",Inputs_Actuals!P147,O210)</f>
        <v>1</v>
      </c>
      <c r="Q210" s="69" t="n">
        <f aca="false">IF(Q$5="A",Inputs_Actuals!Q147,P210)</f>
        <v>1</v>
      </c>
      <c r="R210" s="69" t="n">
        <f aca="false">IF(R$5="A",Inputs_Actuals!R147,Q210*(1-Assumptions!$C$125*Assumptions!$F$170))</f>
        <v>0.9</v>
      </c>
      <c r="S210" s="69" t="n">
        <f aca="false">IF(S$5="A",Inputs_Actuals!S147,R210)</f>
        <v>0.9</v>
      </c>
      <c r="T210" s="69" t="n">
        <f aca="false">IF(T$5="A",Inputs_Actuals!T147,S210)</f>
        <v>0.9</v>
      </c>
      <c r="U210" s="69" t="n">
        <f aca="false">IF(U$5="A",Inputs_Actuals!U147,T210)</f>
        <v>0.9</v>
      </c>
      <c r="V210" s="69" t="n">
        <f aca="false">IF(V$5="A",Inputs_Actuals!V147,U210)</f>
        <v>0.9</v>
      </c>
      <c r="W210" s="69" t="n">
        <f aca="false">IF(W$5="A",Inputs_Actuals!W147,V210)</f>
        <v>0.9</v>
      </c>
      <c r="X210" s="69" t="n">
        <f aca="false">IF(X$5="A",Inputs_Actuals!X147,W210)</f>
        <v>0.9</v>
      </c>
      <c r="Y210" s="69" t="n">
        <f aca="false">IF(Y$5="A",Inputs_Actuals!Y147,X210)</f>
        <v>0.9</v>
      </c>
      <c r="Z210" s="69" t="n">
        <f aca="false">IF(Z$5="A",Inputs_Actuals!Z147,Y210)</f>
        <v>0.9</v>
      </c>
      <c r="AA210" s="69" t="n">
        <f aca="false">IF(AA$5="A",Inputs_Actuals!AA147,Z210)</f>
        <v>0.9</v>
      </c>
      <c r="AB210" s="69" t="n">
        <f aca="false">IF(AB$5="A",Inputs_Actuals!AB147,AA210)</f>
        <v>0.9</v>
      </c>
    </row>
    <row r="211" customFormat="false" ht="15" hidden="false" customHeight="false" outlineLevel="0" collapsed="false">
      <c r="A211" s="28" t="s">
        <v>887</v>
      </c>
      <c r="B211" s="63" t="s">
        <v>937</v>
      </c>
      <c r="C211" s="68" t="n">
        <f aca="false">P211</f>
        <v>3</v>
      </c>
      <c r="D211" s="68" t="n">
        <f aca="false">AB211</f>
        <v>2.7</v>
      </c>
      <c r="E211" s="69" t="n">
        <f aca="false">IF(E$5="A",Inputs_Actuals!E148,History!$F$99)</f>
        <v>5</v>
      </c>
      <c r="F211" s="69" t="n">
        <f aca="false">IF(F$5="A",Inputs_Actuals!F148,E211)</f>
        <v>5</v>
      </c>
      <c r="G211" s="69" t="n">
        <f aca="false">IF(G$5="A",Inputs_Actuals!G148,F211*(1-Assumptions!$C$124*Assumptions!$F$170))</f>
        <v>3</v>
      </c>
      <c r="H211" s="69" t="n">
        <f aca="false">IF(H$5="A",Inputs_Actuals!H148,G211)</f>
        <v>3</v>
      </c>
      <c r="I211" s="69" t="n">
        <f aca="false">IF(I$5="A",Inputs_Actuals!I148,H211)</f>
        <v>3</v>
      </c>
      <c r="J211" s="69" t="n">
        <f aca="false">IF(J$5="A",Inputs_Actuals!J148,I211)</f>
        <v>3</v>
      </c>
      <c r="K211" s="69" t="n">
        <f aca="false">IF(K$5="A",Inputs_Actuals!K148,J211)</f>
        <v>3</v>
      </c>
      <c r="L211" s="69" t="n">
        <f aca="false">IF(L$5="A",Inputs_Actuals!L148,K211)</f>
        <v>3</v>
      </c>
      <c r="M211" s="69" t="n">
        <f aca="false">IF(M$5="A",Inputs_Actuals!M148,L211)</f>
        <v>3</v>
      </c>
      <c r="N211" s="69" t="n">
        <f aca="false">IF(N$5="A",Inputs_Actuals!N148,M211)</f>
        <v>3</v>
      </c>
      <c r="O211" s="69" t="n">
        <f aca="false">IF(O$5="A",Inputs_Actuals!O148,N211)</f>
        <v>3</v>
      </c>
      <c r="P211" s="69" t="n">
        <f aca="false">IF(P$5="A",Inputs_Actuals!P148,O211)</f>
        <v>3</v>
      </c>
      <c r="Q211" s="69" t="n">
        <f aca="false">IF(Q$5="A",Inputs_Actuals!Q148,P211)</f>
        <v>3</v>
      </c>
      <c r="R211" s="69" t="n">
        <f aca="false">IF(R$5="A",Inputs_Actuals!R148,Q211)</f>
        <v>3</v>
      </c>
      <c r="S211" s="69" t="n">
        <f aca="false">IF(S$5="A",Inputs_Actuals!S148,R211*(1-Assumptions!$C$125*Assumptions!$F$170))</f>
        <v>2.7</v>
      </c>
      <c r="T211" s="69" t="n">
        <f aca="false">IF(T$5="A",Inputs_Actuals!T148,S211)</f>
        <v>2.7</v>
      </c>
      <c r="U211" s="69" t="n">
        <f aca="false">IF(U$5="A",Inputs_Actuals!U148,T211)</f>
        <v>2.7</v>
      </c>
      <c r="V211" s="69" t="n">
        <f aca="false">IF(V$5="A",Inputs_Actuals!V148,U211)</f>
        <v>2.7</v>
      </c>
      <c r="W211" s="69" t="n">
        <f aca="false">IF(W$5="A",Inputs_Actuals!W148,V211)</f>
        <v>2.7</v>
      </c>
      <c r="X211" s="69" t="n">
        <f aca="false">IF(X$5="A",Inputs_Actuals!X148,W211)</f>
        <v>2.7</v>
      </c>
      <c r="Y211" s="69" t="n">
        <f aca="false">IF(Y$5="A",Inputs_Actuals!Y148,X211)</f>
        <v>2.7</v>
      </c>
      <c r="Z211" s="69" t="n">
        <f aca="false">IF(Z$5="A",Inputs_Actuals!Z148,Y211)</f>
        <v>2.7</v>
      </c>
      <c r="AA211" s="69" t="n">
        <f aca="false">IF(AA$5="A",Inputs_Actuals!AA148,Z211)</f>
        <v>2.7</v>
      </c>
      <c r="AB211" s="69" t="n">
        <f aca="false">IF(AB$5="A",Inputs_Actuals!AB148,AA211)</f>
        <v>2.7</v>
      </c>
    </row>
    <row r="212" customFormat="false" ht="15" hidden="false" customHeight="false" outlineLevel="0" collapsed="false">
      <c r="A212" s="28" t="s">
        <v>888</v>
      </c>
      <c r="B212" s="63" t="s">
        <v>937</v>
      </c>
      <c r="C212" s="68" t="n">
        <f aca="false">P212</f>
        <v>2</v>
      </c>
      <c r="D212" s="68" t="n">
        <f aca="false">AB212</f>
        <v>1.8</v>
      </c>
      <c r="E212" s="69" t="n">
        <f aca="false">IF(E$5="A",Inputs_Actuals!E149,History!$F$100)</f>
        <v>2</v>
      </c>
      <c r="F212" s="69" t="n">
        <f aca="false">IF(F$5="A",Inputs_Actuals!F149,E212)</f>
        <v>2</v>
      </c>
      <c r="G212" s="69" t="n">
        <f aca="false">IF(G$5="A",Inputs_Actuals!G149,F212)</f>
        <v>2</v>
      </c>
      <c r="H212" s="69" t="n">
        <f aca="false">IF(H$5="A",Inputs_Actuals!H149,G212*(1-Assumptions!$C$124*Assumptions!$F$170))</f>
        <v>2</v>
      </c>
      <c r="I212" s="69" t="n">
        <f aca="false">IF(I$5="A",Inputs_Actuals!I149,H212)</f>
        <v>2</v>
      </c>
      <c r="J212" s="69" t="n">
        <f aca="false">IF(J$5="A",Inputs_Actuals!J149,I212)</f>
        <v>2</v>
      </c>
      <c r="K212" s="69" t="n">
        <f aca="false">IF(K$5="A",Inputs_Actuals!K149,J212)</f>
        <v>2</v>
      </c>
      <c r="L212" s="69" t="n">
        <f aca="false">IF(L$5="A",Inputs_Actuals!L149,K212)</f>
        <v>2</v>
      </c>
      <c r="M212" s="69" t="n">
        <f aca="false">IF(M$5="A",Inputs_Actuals!M149,L212)</f>
        <v>2</v>
      </c>
      <c r="N212" s="69" t="n">
        <f aca="false">IF(N$5="A",Inputs_Actuals!N149,M212)</f>
        <v>2</v>
      </c>
      <c r="O212" s="69" t="n">
        <f aca="false">IF(O$5="A",Inputs_Actuals!O149,N212)</f>
        <v>2</v>
      </c>
      <c r="P212" s="69" t="n">
        <f aca="false">IF(P$5="A",Inputs_Actuals!P149,O212)</f>
        <v>2</v>
      </c>
      <c r="Q212" s="69" t="n">
        <f aca="false">IF(Q$5="A",Inputs_Actuals!Q149,P212)</f>
        <v>2</v>
      </c>
      <c r="R212" s="69" t="n">
        <f aca="false">IF(R$5="A",Inputs_Actuals!R149,Q212)</f>
        <v>2</v>
      </c>
      <c r="S212" s="69" t="n">
        <f aca="false">IF(S$5="A",Inputs_Actuals!S149,R212)</f>
        <v>2</v>
      </c>
      <c r="T212" s="69" t="n">
        <f aca="false">IF(T$5="A",Inputs_Actuals!T149,S212*(1-Assumptions!$C$125*Assumptions!$F$170))</f>
        <v>1.8</v>
      </c>
      <c r="U212" s="69" t="n">
        <f aca="false">IF(U$5="A",Inputs_Actuals!U149,T212)</f>
        <v>1.8</v>
      </c>
      <c r="V212" s="69" t="n">
        <f aca="false">IF(V$5="A",Inputs_Actuals!V149,U212)</f>
        <v>1.8</v>
      </c>
      <c r="W212" s="69" t="n">
        <f aca="false">IF(W$5="A",Inputs_Actuals!W149,V212)</f>
        <v>1.8</v>
      </c>
      <c r="X212" s="69" t="n">
        <f aca="false">IF(X$5="A",Inputs_Actuals!X149,W212)</f>
        <v>1.8</v>
      </c>
      <c r="Y212" s="69" t="n">
        <f aca="false">IF(Y$5="A",Inputs_Actuals!Y149,X212)</f>
        <v>1.8</v>
      </c>
      <c r="Z212" s="69" t="n">
        <f aca="false">IF(Z$5="A",Inputs_Actuals!Z149,Y212)</f>
        <v>1.8</v>
      </c>
      <c r="AA212" s="69" t="n">
        <f aca="false">IF(AA$5="A",Inputs_Actuals!AA149,Z212)</f>
        <v>1.8</v>
      </c>
      <c r="AB212" s="69" t="n">
        <f aca="false">IF(AB$5="A",Inputs_Actuals!AB149,AA212)</f>
        <v>1.8</v>
      </c>
    </row>
    <row r="213" customFormat="false" ht="15" hidden="false" customHeight="false" outlineLevel="0" collapsed="false">
      <c r="A213" s="28" t="s">
        <v>889</v>
      </c>
      <c r="B213" s="63" t="s">
        <v>937</v>
      </c>
      <c r="C213" s="68" t="n">
        <f aca="false">P213</f>
        <v>3</v>
      </c>
      <c r="D213" s="68" t="n">
        <f aca="false">AB213</f>
        <v>2.7</v>
      </c>
      <c r="E213" s="69" t="n">
        <f aca="false">IF(E$5="A",Inputs_Actuals!E150,History!$F$101)</f>
        <v>5</v>
      </c>
      <c r="F213" s="69" t="n">
        <f aca="false">IF(F$5="A",Inputs_Actuals!F150,E213)</f>
        <v>5</v>
      </c>
      <c r="G213" s="69" t="n">
        <f aca="false">IF(G$5="A",Inputs_Actuals!G150,F213)</f>
        <v>5</v>
      </c>
      <c r="H213" s="69" t="n">
        <f aca="false">IF(H$5="A",Inputs_Actuals!H150,G213)</f>
        <v>5</v>
      </c>
      <c r="I213" s="69" t="n">
        <f aca="false">IF(I$5="A",Inputs_Actuals!I150,H213*(1-Assumptions!$C$124*Assumptions!$F$170))</f>
        <v>3</v>
      </c>
      <c r="J213" s="69" t="n">
        <f aca="false">IF(J$5="A",Inputs_Actuals!J150,I213)</f>
        <v>3</v>
      </c>
      <c r="K213" s="69" t="n">
        <f aca="false">IF(K$5="A",Inputs_Actuals!K150,J213)</f>
        <v>3</v>
      </c>
      <c r="L213" s="69" t="n">
        <f aca="false">IF(L$5="A",Inputs_Actuals!L150,K213)</f>
        <v>3</v>
      </c>
      <c r="M213" s="69" t="n">
        <f aca="false">IF(M$5="A",Inputs_Actuals!M150,L213)</f>
        <v>3</v>
      </c>
      <c r="N213" s="69" t="n">
        <f aca="false">IF(N$5="A",Inputs_Actuals!N150,M213)</f>
        <v>3</v>
      </c>
      <c r="O213" s="69" t="n">
        <f aca="false">IF(O$5="A",Inputs_Actuals!O150,N213)</f>
        <v>3</v>
      </c>
      <c r="P213" s="69" t="n">
        <f aca="false">IF(P$5="A",Inputs_Actuals!P150,O213)</f>
        <v>3</v>
      </c>
      <c r="Q213" s="69" t="n">
        <f aca="false">IF(Q$5="A",Inputs_Actuals!Q150,P213)</f>
        <v>3</v>
      </c>
      <c r="R213" s="69" t="n">
        <f aca="false">IF(R$5="A",Inputs_Actuals!R150,Q213)</f>
        <v>3</v>
      </c>
      <c r="S213" s="69" t="n">
        <f aca="false">IF(S$5="A",Inputs_Actuals!S150,R213)</f>
        <v>3</v>
      </c>
      <c r="T213" s="69" t="n">
        <f aca="false">IF(T$5="A",Inputs_Actuals!T150,S213)</f>
        <v>3</v>
      </c>
      <c r="U213" s="69" t="n">
        <f aca="false">IF(U$5="A",Inputs_Actuals!U150,T213*(1-Assumptions!$C$125*Assumptions!$F$170))</f>
        <v>2.7</v>
      </c>
      <c r="V213" s="69" t="n">
        <f aca="false">IF(V$5="A",Inputs_Actuals!V150,U213)</f>
        <v>2.7</v>
      </c>
      <c r="W213" s="69" t="n">
        <f aca="false">IF(W$5="A",Inputs_Actuals!W150,V213)</f>
        <v>2.7</v>
      </c>
      <c r="X213" s="69" t="n">
        <f aca="false">IF(X$5="A",Inputs_Actuals!X150,W213)</f>
        <v>2.7</v>
      </c>
      <c r="Y213" s="69" t="n">
        <f aca="false">IF(Y$5="A",Inputs_Actuals!Y150,X213)</f>
        <v>2.7</v>
      </c>
      <c r="Z213" s="69" t="n">
        <f aca="false">IF(Z$5="A",Inputs_Actuals!Z150,Y213)</f>
        <v>2.7</v>
      </c>
      <c r="AA213" s="69" t="n">
        <f aca="false">IF(AA$5="A",Inputs_Actuals!AA150,Z213)</f>
        <v>2.7</v>
      </c>
      <c r="AB213" s="69" t="n">
        <f aca="false">IF(AB$5="A",Inputs_Actuals!AB150,AA213)</f>
        <v>2.7</v>
      </c>
    </row>
    <row r="214" customFormat="false" ht="15" hidden="false" customHeight="false" outlineLevel="0" collapsed="false">
      <c r="A214" s="28" t="s">
        <v>890</v>
      </c>
      <c r="B214" s="63" t="s">
        <v>937</v>
      </c>
      <c r="C214" s="68" t="n">
        <f aca="false">P214</f>
        <v>0</v>
      </c>
      <c r="D214" s="68" t="n">
        <f aca="false">AB214</f>
        <v>0</v>
      </c>
      <c r="E214" s="69" t="n">
        <f aca="false">IF(E$5="A",Inputs_Actuals!E151,History!$F$102)</f>
        <v>0</v>
      </c>
      <c r="F214" s="69" t="n">
        <f aca="false">IF(F$5="A",Inputs_Actuals!F151,E214)</f>
        <v>0</v>
      </c>
      <c r="G214" s="69" t="n">
        <f aca="false">IF(G$5="A",Inputs_Actuals!G151,F214)</f>
        <v>0</v>
      </c>
      <c r="H214" s="69" t="n">
        <f aca="false">IF(H$5="A",Inputs_Actuals!H151,G214)</f>
        <v>0</v>
      </c>
      <c r="I214" s="69" t="n">
        <f aca="false">IF(I$5="A",Inputs_Actuals!I151,H214)</f>
        <v>0</v>
      </c>
      <c r="J214" s="69" t="n">
        <f aca="false">IF(J$5="A",Inputs_Actuals!J151,I214*(1-Assumptions!$C$124*Assumptions!$F$170))</f>
        <v>0</v>
      </c>
      <c r="K214" s="69" t="n">
        <f aca="false">IF(K$5="A",Inputs_Actuals!K151,J214)</f>
        <v>0</v>
      </c>
      <c r="L214" s="69" t="n">
        <f aca="false">IF(L$5="A",Inputs_Actuals!L151,K214)</f>
        <v>0</v>
      </c>
      <c r="M214" s="69" t="n">
        <f aca="false">IF(M$5="A",Inputs_Actuals!M151,L214)</f>
        <v>0</v>
      </c>
      <c r="N214" s="69" t="n">
        <f aca="false">IF(N$5="A",Inputs_Actuals!N151,M214)</f>
        <v>0</v>
      </c>
      <c r="O214" s="69" t="n">
        <f aca="false">IF(O$5="A",Inputs_Actuals!O151,N214)</f>
        <v>0</v>
      </c>
      <c r="P214" s="69" t="n">
        <f aca="false">IF(P$5="A",Inputs_Actuals!P151,O214)</f>
        <v>0</v>
      </c>
      <c r="Q214" s="69" t="n">
        <f aca="false">IF(Q$5="A",Inputs_Actuals!Q151,P214)</f>
        <v>0</v>
      </c>
      <c r="R214" s="69" t="n">
        <f aca="false">IF(R$5="A",Inputs_Actuals!R151,Q214)</f>
        <v>0</v>
      </c>
      <c r="S214" s="69" t="n">
        <f aca="false">IF(S$5="A",Inputs_Actuals!S151,R214)</f>
        <v>0</v>
      </c>
      <c r="T214" s="69" t="n">
        <f aca="false">IF(T$5="A",Inputs_Actuals!T151,S214)</f>
        <v>0</v>
      </c>
      <c r="U214" s="69" t="n">
        <f aca="false">IF(U$5="A",Inputs_Actuals!U151,T214)</f>
        <v>0</v>
      </c>
      <c r="V214" s="69" t="n">
        <f aca="false">IF(V$5="A",Inputs_Actuals!V151,U214*(1-Assumptions!$C$125*Assumptions!$F$170))</f>
        <v>0</v>
      </c>
      <c r="W214" s="69" t="n">
        <f aca="false">IF(W$5="A",Inputs_Actuals!W151,V214)</f>
        <v>0</v>
      </c>
      <c r="X214" s="69" t="n">
        <f aca="false">IF(X$5="A",Inputs_Actuals!X151,W214)</f>
        <v>0</v>
      </c>
      <c r="Y214" s="69" t="n">
        <f aca="false">IF(Y$5="A",Inputs_Actuals!Y151,X214)</f>
        <v>0</v>
      </c>
      <c r="Z214" s="69" t="n">
        <f aca="false">IF(Z$5="A",Inputs_Actuals!Z151,Y214)</f>
        <v>0</v>
      </c>
      <c r="AA214" s="69" t="n">
        <f aca="false">IF(AA$5="A",Inputs_Actuals!AA151,Z214)</f>
        <v>0</v>
      </c>
      <c r="AB214" s="69" t="n">
        <f aca="false">IF(AB$5="A",Inputs_Actuals!AB151,AA214)</f>
        <v>0</v>
      </c>
    </row>
    <row r="215" customFormat="false" ht="15" hidden="false" customHeight="false" outlineLevel="0" collapsed="false">
      <c r="A215" s="28" t="s">
        <v>891</v>
      </c>
      <c r="B215" s="63" t="s">
        <v>937</v>
      </c>
      <c r="C215" s="68" t="n">
        <f aca="false">P215</f>
        <v>4</v>
      </c>
      <c r="D215" s="68" t="n">
        <f aca="false">AB215</f>
        <v>3.6</v>
      </c>
      <c r="E215" s="69" t="n">
        <f aca="false">IF(E$5="A",Inputs_Actuals!E152,History!$F$103)</f>
        <v>5</v>
      </c>
      <c r="F215" s="69" t="n">
        <f aca="false">IF(F$5="A",Inputs_Actuals!F152,E215)</f>
        <v>5</v>
      </c>
      <c r="G215" s="69" t="n">
        <f aca="false">IF(G$5="A",Inputs_Actuals!G152,F215)</f>
        <v>5</v>
      </c>
      <c r="H215" s="69" t="n">
        <f aca="false">IF(H$5="A",Inputs_Actuals!H152,G215)</f>
        <v>5</v>
      </c>
      <c r="I215" s="69" t="n">
        <f aca="false">IF(I$5="A",Inputs_Actuals!I152,H215)</f>
        <v>5</v>
      </c>
      <c r="J215" s="69" t="n">
        <f aca="false">IF(J$5="A",Inputs_Actuals!J152,I215)</f>
        <v>5</v>
      </c>
      <c r="K215" s="69" t="n">
        <f aca="false">IF(K$5="A",Inputs_Actuals!K152,J215*(1-Assumptions!$C$124*Assumptions!$F$170))</f>
        <v>4</v>
      </c>
      <c r="L215" s="69" t="n">
        <f aca="false">IF(L$5="A",Inputs_Actuals!L152,K215)</f>
        <v>4</v>
      </c>
      <c r="M215" s="69" t="n">
        <f aca="false">IF(M$5="A",Inputs_Actuals!M152,L215)</f>
        <v>4</v>
      </c>
      <c r="N215" s="69" t="n">
        <f aca="false">IF(N$5="A",Inputs_Actuals!N152,M215)</f>
        <v>4</v>
      </c>
      <c r="O215" s="69" t="n">
        <f aca="false">IF(O$5="A",Inputs_Actuals!O152,N215)</f>
        <v>4</v>
      </c>
      <c r="P215" s="69" t="n">
        <f aca="false">IF(P$5="A",Inputs_Actuals!P152,O215)</f>
        <v>4</v>
      </c>
      <c r="Q215" s="69" t="n">
        <f aca="false">IF(Q$5="A",Inputs_Actuals!Q152,P215)</f>
        <v>4</v>
      </c>
      <c r="R215" s="69" t="n">
        <f aca="false">IF(R$5="A",Inputs_Actuals!R152,Q215)</f>
        <v>4</v>
      </c>
      <c r="S215" s="69" t="n">
        <f aca="false">IF(S$5="A",Inputs_Actuals!S152,R215)</f>
        <v>4</v>
      </c>
      <c r="T215" s="69" t="n">
        <f aca="false">IF(T$5="A",Inputs_Actuals!T152,S215)</f>
        <v>4</v>
      </c>
      <c r="U215" s="69" t="n">
        <f aca="false">IF(U$5="A",Inputs_Actuals!U152,T215)</f>
        <v>4</v>
      </c>
      <c r="V215" s="69" t="n">
        <f aca="false">IF(V$5="A",Inputs_Actuals!V152,U215)</f>
        <v>4</v>
      </c>
      <c r="W215" s="69" t="n">
        <f aca="false">IF(W$5="A",Inputs_Actuals!W152,V215*(1-Assumptions!$C$125*Assumptions!$F$170))</f>
        <v>3.6</v>
      </c>
      <c r="X215" s="69" t="n">
        <f aca="false">IF(X$5="A",Inputs_Actuals!X152,W215)</f>
        <v>3.6</v>
      </c>
      <c r="Y215" s="69" t="n">
        <f aca="false">IF(Y$5="A",Inputs_Actuals!Y152,X215)</f>
        <v>3.6</v>
      </c>
      <c r="Z215" s="69" t="n">
        <f aca="false">IF(Z$5="A",Inputs_Actuals!Z152,Y215)</f>
        <v>3.6</v>
      </c>
      <c r="AA215" s="69" t="n">
        <f aca="false">IF(AA$5="A",Inputs_Actuals!AA152,Z215)</f>
        <v>3.6</v>
      </c>
      <c r="AB215" s="69" t="n">
        <f aca="false">IF(AB$5="A",Inputs_Actuals!AB152,AA215)</f>
        <v>3.6</v>
      </c>
    </row>
    <row r="216" customFormat="false" ht="15" hidden="false" customHeight="false" outlineLevel="0" collapsed="false">
      <c r="A216" s="28" t="s">
        <v>892</v>
      </c>
      <c r="B216" s="63" t="s">
        <v>937</v>
      </c>
      <c r="C216" s="68" t="n">
        <f aca="false">P216</f>
        <v>2</v>
      </c>
      <c r="D216" s="68" t="n">
        <f aca="false">AB216</f>
        <v>1.8</v>
      </c>
      <c r="E216" s="69" t="n">
        <f aca="false">IF(E$5="A",Inputs_Actuals!E153,History!$F$104)</f>
        <v>4</v>
      </c>
      <c r="F216" s="69" t="n">
        <f aca="false">IF(F$5="A",Inputs_Actuals!F153,E216)</f>
        <v>4</v>
      </c>
      <c r="G216" s="69" t="n">
        <f aca="false">IF(G$5="A",Inputs_Actuals!G153,F216)</f>
        <v>4</v>
      </c>
      <c r="H216" s="69" t="n">
        <f aca="false">IF(H$5="A",Inputs_Actuals!H153,G216)</f>
        <v>4</v>
      </c>
      <c r="I216" s="69" t="n">
        <f aca="false">IF(I$5="A",Inputs_Actuals!I153,H216)</f>
        <v>4</v>
      </c>
      <c r="J216" s="69" t="n">
        <f aca="false">IF(J$5="A",Inputs_Actuals!J153,I216)</f>
        <v>4</v>
      </c>
      <c r="K216" s="69" t="n">
        <f aca="false">IF(K$5="A",Inputs_Actuals!K153,J216)</f>
        <v>4</v>
      </c>
      <c r="L216" s="69" t="n">
        <f aca="false">IF(L$5="A",Inputs_Actuals!L153,K216*(1-Assumptions!$C$124*Assumptions!$F$170))</f>
        <v>2</v>
      </c>
      <c r="M216" s="69" t="n">
        <f aca="false">IF(M$5="A",Inputs_Actuals!M153,L216)</f>
        <v>2</v>
      </c>
      <c r="N216" s="69" t="n">
        <f aca="false">IF(N$5="A",Inputs_Actuals!N153,M216)</f>
        <v>2</v>
      </c>
      <c r="O216" s="69" t="n">
        <f aca="false">IF(O$5="A",Inputs_Actuals!O153,N216)</f>
        <v>2</v>
      </c>
      <c r="P216" s="69" t="n">
        <f aca="false">IF(P$5="A",Inputs_Actuals!P153,O216)</f>
        <v>2</v>
      </c>
      <c r="Q216" s="69" t="n">
        <f aca="false">IF(Q$5="A",Inputs_Actuals!Q153,P216)</f>
        <v>2</v>
      </c>
      <c r="R216" s="69" t="n">
        <f aca="false">IF(R$5="A",Inputs_Actuals!R153,Q216)</f>
        <v>2</v>
      </c>
      <c r="S216" s="69" t="n">
        <f aca="false">IF(S$5="A",Inputs_Actuals!S153,R216)</f>
        <v>2</v>
      </c>
      <c r="T216" s="69" t="n">
        <f aca="false">IF(T$5="A",Inputs_Actuals!T153,S216)</f>
        <v>2</v>
      </c>
      <c r="U216" s="69" t="n">
        <f aca="false">IF(U$5="A",Inputs_Actuals!U153,T216)</f>
        <v>2</v>
      </c>
      <c r="V216" s="69" t="n">
        <f aca="false">IF(V$5="A",Inputs_Actuals!V153,U216)</f>
        <v>2</v>
      </c>
      <c r="W216" s="69" t="n">
        <f aca="false">IF(W$5="A",Inputs_Actuals!W153,V216)</f>
        <v>2</v>
      </c>
      <c r="X216" s="69" t="n">
        <f aca="false">IF(X$5="A",Inputs_Actuals!X153,W216*(1-Assumptions!$C$125*Assumptions!$F$170))</f>
        <v>1.8</v>
      </c>
      <c r="Y216" s="69" t="n">
        <f aca="false">IF(Y$5="A",Inputs_Actuals!Y153,X216)</f>
        <v>1.8</v>
      </c>
      <c r="Z216" s="69" t="n">
        <f aca="false">IF(Z$5="A",Inputs_Actuals!Z153,Y216)</f>
        <v>1.8</v>
      </c>
      <c r="AA216" s="69" t="n">
        <f aca="false">IF(AA$5="A",Inputs_Actuals!AA153,Z216)</f>
        <v>1.8</v>
      </c>
      <c r="AB216" s="69" t="n">
        <f aca="false">IF(AB$5="A",Inputs_Actuals!AB153,AA216)</f>
        <v>1.8</v>
      </c>
    </row>
    <row r="217" customFormat="false" ht="15" hidden="false" customHeight="false" outlineLevel="0" collapsed="false">
      <c r="A217" s="28" t="s">
        <v>893</v>
      </c>
      <c r="B217" s="63" t="s">
        <v>937</v>
      </c>
      <c r="C217" s="68" t="n">
        <f aca="false">P217</f>
        <v>0</v>
      </c>
      <c r="D217" s="68" t="n">
        <f aca="false">AB217</f>
        <v>0</v>
      </c>
      <c r="E217" s="69" t="n">
        <f aca="false">IF(E$5="A",Inputs_Actuals!E154,History!$F$105)</f>
        <v>0</v>
      </c>
      <c r="F217" s="69" t="n">
        <f aca="false">IF(F$5="A",Inputs_Actuals!F154,E217)</f>
        <v>0</v>
      </c>
      <c r="G217" s="69" t="n">
        <f aca="false">IF(G$5="A",Inputs_Actuals!G154,F217)</f>
        <v>0</v>
      </c>
      <c r="H217" s="69" t="n">
        <f aca="false">IF(H$5="A",Inputs_Actuals!H154,G217)</f>
        <v>0</v>
      </c>
      <c r="I217" s="69" t="n">
        <f aca="false">IF(I$5="A",Inputs_Actuals!I154,H217)</f>
        <v>0</v>
      </c>
      <c r="J217" s="69" t="n">
        <f aca="false">IF(J$5="A",Inputs_Actuals!J154,I217)</f>
        <v>0</v>
      </c>
      <c r="K217" s="69" t="n">
        <f aca="false">IF(K$5="A",Inputs_Actuals!K154,J217)</f>
        <v>0</v>
      </c>
      <c r="L217" s="69" t="n">
        <f aca="false">IF(L$5="A",Inputs_Actuals!L154,K217)</f>
        <v>0</v>
      </c>
      <c r="M217" s="69" t="n">
        <f aca="false">IF(M$5="A",Inputs_Actuals!M154,L217*(1-Assumptions!$C$124*Assumptions!$F$170))</f>
        <v>0</v>
      </c>
      <c r="N217" s="69" t="n">
        <f aca="false">IF(N$5="A",Inputs_Actuals!N154,M217)</f>
        <v>0</v>
      </c>
      <c r="O217" s="69" t="n">
        <f aca="false">IF(O$5="A",Inputs_Actuals!O154,N217)</f>
        <v>0</v>
      </c>
      <c r="P217" s="69" t="n">
        <f aca="false">IF(P$5="A",Inputs_Actuals!P154,O217)</f>
        <v>0</v>
      </c>
      <c r="Q217" s="69" t="n">
        <f aca="false">IF(Q$5="A",Inputs_Actuals!Q154,P217)</f>
        <v>0</v>
      </c>
      <c r="R217" s="69" t="n">
        <f aca="false">IF(R$5="A",Inputs_Actuals!R154,Q217)</f>
        <v>0</v>
      </c>
      <c r="S217" s="69" t="n">
        <f aca="false">IF(S$5="A",Inputs_Actuals!S154,R217)</f>
        <v>0</v>
      </c>
      <c r="T217" s="69" t="n">
        <f aca="false">IF(T$5="A",Inputs_Actuals!T154,S217)</f>
        <v>0</v>
      </c>
      <c r="U217" s="69" t="n">
        <f aca="false">IF(U$5="A",Inputs_Actuals!U154,T217)</f>
        <v>0</v>
      </c>
      <c r="V217" s="69" t="n">
        <f aca="false">IF(V$5="A",Inputs_Actuals!V154,U217)</f>
        <v>0</v>
      </c>
      <c r="W217" s="69" t="n">
        <f aca="false">IF(W$5="A",Inputs_Actuals!W154,V217)</f>
        <v>0</v>
      </c>
      <c r="X217" s="69" t="n">
        <f aca="false">IF(X$5="A",Inputs_Actuals!X154,W217)</f>
        <v>0</v>
      </c>
      <c r="Y217" s="69" t="n">
        <f aca="false">IF(Y$5="A",Inputs_Actuals!Y154,X217*(1-Assumptions!$C$125*Assumptions!$F$170))</f>
        <v>0</v>
      </c>
      <c r="Z217" s="69" t="n">
        <f aca="false">IF(Z$5="A",Inputs_Actuals!Z154,Y217)</f>
        <v>0</v>
      </c>
      <c r="AA217" s="69" t="n">
        <f aca="false">IF(AA$5="A",Inputs_Actuals!AA154,Z217)</f>
        <v>0</v>
      </c>
      <c r="AB217" s="69" t="n">
        <f aca="false">IF(AB$5="A",Inputs_Actuals!AB154,AA217)</f>
        <v>0</v>
      </c>
    </row>
    <row r="218" customFormat="false" ht="15" hidden="false" customHeight="false" outlineLevel="0" collapsed="false">
      <c r="A218" s="28" t="s">
        <v>894</v>
      </c>
      <c r="B218" s="63" t="s">
        <v>937</v>
      </c>
      <c r="C218" s="68" t="n">
        <f aca="false">P218</f>
        <v>0</v>
      </c>
      <c r="D218" s="68" t="n">
        <f aca="false">AB218</f>
        <v>0</v>
      </c>
      <c r="E218" s="69" t="n">
        <f aca="false">IF(E$5="A",Inputs_Actuals!E155,History!$F$106)</f>
        <v>0</v>
      </c>
      <c r="F218" s="69" t="n">
        <f aca="false">IF(F$5="A",Inputs_Actuals!F155,E218)</f>
        <v>0</v>
      </c>
      <c r="G218" s="69" t="n">
        <f aca="false">IF(G$5="A",Inputs_Actuals!G155,F218)</f>
        <v>0</v>
      </c>
      <c r="H218" s="69" t="n">
        <f aca="false">IF(H$5="A",Inputs_Actuals!H155,G218)</f>
        <v>0</v>
      </c>
      <c r="I218" s="69" t="n">
        <f aca="false">IF(I$5="A",Inputs_Actuals!I155,H218)</f>
        <v>0</v>
      </c>
      <c r="J218" s="69" t="n">
        <f aca="false">IF(J$5="A",Inputs_Actuals!J155,I218)</f>
        <v>0</v>
      </c>
      <c r="K218" s="69" t="n">
        <f aca="false">IF(K$5="A",Inputs_Actuals!K155,J218)</f>
        <v>0</v>
      </c>
      <c r="L218" s="69" t="n">
        <f aca="false">IF(L$5="A",Inputs_Actuals!L155,K218)</f>
        <v>0</v>
      </c>
      <c r="M218" s="69" t="n">
        <f aca="false">IF(M$5="A",Inputs_Actuals!M155,L218)</f>
        <v>0</v>
      </c>
      <c r="N218" s="69" t="n">
        <f aca="false">IF(N$5="A",Inputs_Actuals!N155,M218*(1-Assumptions!$C$124*Assumptions!$F$170))</f>
        <v>0</v>
      </c>
      <c r="O218" s="69" t="n">
        <f aca="false">IF(O$5="A",Inputs_Actuals!O155,N218)</f>
        <v>0</v>
      </c>
      <c r="P218" s="69" t="n">
        <f aca="false">IF(P$5="A",Inputs_Actuals!P155,O218)</f>
        <v>0</v>
      </c>
      <c r="Q218" s="69" t="n">
        <f aca="false">IF(Q$5="A",Inputs_Actuals!Q155,P218)</f>
        <v>0</v>
      </c>
      <c r="R218" s="69" t="n">
        <f aca="false">IF(R$5="A",Inputs_Actuals!R155,Q218)</f>
        <v>0</v>
      </c>
      <c r="S218" s="69" t="n">
        <f aca="false">IF(S$5="A",Inputs_Actuals!S155,R218)</f>
        <v>0</v>
      </c>
      <c r="T218" s="69" t="n">
        <f aca="false">IF(T$5="A",Inputs_Actuals!T155,S218)</f>
        <v>0</v>
      </c>
      <c r="U218" s="69" t="n">
        <f aca="false">IF(U$5="A",Inputs_Actuals!U155,T218)</f>
        <v>0</v>
      </c>
      <c r="V218" s="69" t="n">
        <f aca="false">IF(V$5="A",Inputs_Actuals!V155,U218)</f>
        <v>0</v>
      </c>
      <c r="W218" s="69" t="n">
        <f aca="false">IF(W$5="A",Inputs_Actuals!W155,V218)</f>
        <v>0</v>
      </c>
      <c r="X218" s="69" t="n">
        <f aca="false">IF(X$5="A",Inputs_Actuals!X155,W218)</f>
        <v>0</v>
      </c>
      <c r="Y218" s="69" t="n">
        <f aca="false">IF(Y$5="A",Inputs_Actuals!Y155,X218)</f>
        <v>0</v>
      </c>
      <c r="Z218" s="69" t="n">
        <f aca="false">IF(Z$5="A",Inputs_Actuals!Z155,Y218*(1-Assumptions!$C$125*Assumptions!$F$170))</f>
        <v>0</v>
      </c>
      <c r="AA218" s="69" t="n">
        <f aca="false">IF(AA$5="A",Inputs_Actuals!AA155,Z218)</f>
        <v>0</v>
      </c>
      <c r="AB218" s="69" t="n">
        <f aca="false">IF(AB$5="A",Inputs_Actuals!AB155,AA218)</f>
        <v>0</v>
      </c>
    </row>
    <row r="219" customFormat="false" ht="15" hidden="false" customHeight="false" outlineLevel="0" collapsed="false">
      <c r="A219" s="28" t="s">
        <v>895</v>
      </c>
      <c r="B219" s="63" t="s">
        <v>937</v>
      </c>
      <c r="C219" s="68" t="n">
        <f aca="false">P219</f>
        <v>4.1</v>
      </c>
      <c r="D219" s="68" t="n">
        <f aca="false">AB219</f>
        <v>3.69</v>
      </c>
      <c r="E219" s="69" t="n">
        <f aca="false">IF(E$5="A",Inputs_Actuals!E156,History!$F$107)</f>
        <v>5</v>
      </c>
      <c r="F219" s="69" t="n">
        <f aca="false">IF(F$5="A",Inputs_Actuals!F156,E219)</f>
        <v>5</v>
      </c>
      <c r="G219" s="69" t="n">
        <f aca="false">IF(G$5="A",Inputs_Actuals!G156,F219)</f>
        <v>5</v>
      </c>
      <c r="H219" s="69" t="n">
        <f aca="false">IF(H$5="A",Inputs_Actuals!H156,G219)</f>
        <v>5</v>
      </c>
      <c r="I219" s="69" t="n">
        <f aca="false">IF(I$5="A",Inputs_Actuals!I156,H219)</f>
        <v>5</v>
      </c>
      <c r="J219" s="69" t="n">
        <f aca="false">IF(J$5="A",Inputs_Actuals!J156,I219)</f>
        <v>5</v>
      </c>
      <c r="K219" s="69" t="n">
        <f aca="false">IF(K$5="A",Inputs_Actuals!K156,J219)</f>
        <v>5</v>
      </c>
      <c r="L219" s="69" t="n">
        <f aca="false">IF(L$5="A",Inputs_Actuals!L156,K219)</f>
        <v>5</v>
      </c>
      <c r="M219" s="69" t="n">
        <f aca="false">IF(M$5="A",Inputs_Actuals!M156,L219)</f>
        <v>5</v>
      </c>
      <c r="N219" s="69" t="n">
        <f aca="false">IF(N$5="A",Inputs_Actuals!N156,M219)</f>
        <v>5</v>
      </c>
      <c r="O219" s="69" t="n">
        <f aca="false">IF(O$5="A",Inputs_Actuals!O156,N219*(1-Assumptions!$C$124*Assumptions!$F$170))</f>
        <v>4.1</v>
      </c>
      <c r="P219" s="69" t="n">
        <f aca="false">IF(P$5="A",Inputs_Actuals!P156,O219)</f>
        <v>4.1</v>
      </c>
      <c r="Q219" s="69" t="n">
        <f aca="false">IF(Q$5="A",Inputs_Actuals!Q156,P219)</f>
        <v>4.1</v>
      </c>
      <c r="R219" s="69" t="n">
        <f aca="false">IF(R$5="A",Inputs_Actuals!R156,Q219)</f>
        <v>4.1</v>
      </c>
      <c r="S219" s="69" t="n">
        <f aca="false">IF(S$5="A",Inputs_Actuals!S156,R219)</f>
        <v>4.1</v>
      </c>
      <c r="T219" s="69" t="n">
        <f aca="false">IF(T$5="A",Inputs_Actuals!T156,S219)</f>
        <v>4.1</v>
      </c>
      <c r="U219" s="69" t="n">
        <f aca="false">IF(U$5="A",Inputs_Actuals!U156,T219)</f>
        <v>4.1</v>
      </c>
      <c r="V219" s="69" t="n">
        <f aca="false">IF(V$5="A",Inputs_Actuals!V156,U219)</f>
        <v>4.1</v>
      </c>
      <c r="W219" s="69" t="n">
        <f aca="false">IF(W$5="A",Inputs_Actuals!W156,V219)</f>
        <v>4.1</v>
      </c>
      <c r="X219" s="69" t="n">
        <f aca="false">IF(X$5="A",Inputs_Actuals!X156,W219)</f>
        <v>4.1</v>
      </c>
      <c r="Y219" s="69" t="n">
        <f aca="false">IF(Y$5="A",Inputs_Actuals!Y156,X219)</f>
        <v>4.1</v>
      </c>
      <c r="Z219" s="69" t="n">
        <f aca="false">IF(Z$5="A",Inputs_Actuals!Z156,Y219)</f>
        <v>4.1</v>
      </c>
      <c r="AA219" s="69" t="n">
        <f aca="false">IF(AA$5="A",Inputs_Actuals!AA156,Z219*(1-Assumptions!$C$125*Assumptions!$F$170))</f>
        <v>3.69</v>
      </c>
      <c r="AB219" s="69" t="n">
        <f aca="false">IF(AB$5="A",Inputs_Actuals!AB156,AA219)</f>
        <v>3.69</v>
      </c>
    </row>
    <row r="220" customFormat="false" ht="15" hidden="false" customHeight="false" outlineLevel="0" collapsed="false">
      <c r="A220" s="28" t="s">
        <v>896</v>
      </c>
      <c r="B220" s="63" t="s">
        <v>937</v>
      </c>
      <c r="C220" s="68" t="n">
        <f aca="false">P220</f>
        <v>2.46</v>
      </c>
      <c r="D220" s="68" t="n">
        <f aca="false">AB220</f>
        <v>2.214</v>
      </c>
      <c r="E220" s="69" t="n">
        <f aca="false">IF(E$5="A",Inputs_Actuals!E157,History!$F$108)</f>
        <v>3</v>
      </c>
      <c r="F220" s="69" t="n">
        <f aca="false">IF(F$5="A",Inputs_Actuals!F157,E220)</f>
        <v>3</v>
      </c>
      <c r="G220" s="69" t="n">
        <f aca="false">IF(G$5="A",Inputs_Actuals!G157,F220)</f>
        <v>3</v>
      </c>
      <c r="H220" s="69" t="n">
        <f aca="false">IF(H$5="A",Inputs_Actuals!H157,G220)</f>
        <v>3</v>
      </c>
      <c r="I220" s="69" t="n">
        <f aca="false">IF(I$5="A",Inputs_Actuals!I157,H220)</f>
        <v>3</v>
      </c>
      <c r="J220" s="69" t="n">
        <f aca="false">IF(J$5="A",Inputs_Actuals!J157,I220)</f>
        <v>3</v>
      </c>
      <c r="K220" s="69" t="n">
        <f aca="false">IF(K$5="A",Inputs_Actuals!K157,J220)</f>
        <v>3</v>
      </c>
      <c r="L220" s="69" t="n">
        <f aca="false">IF(L$5="A",Inputs_Actuals!L157,K220)</f>
        <v>3</v>
      </c>
      <c r="M220" s="69" t="n">
        <f aca="false">IF(M$5="A",Inputs_Actuals!M157,L220)</f>
        <v>3</v>
      </c>
      <c r="N220" s="69" t="n">
        <f aca="false">IF(N$5="A",Inputs_Actuals!N157,M220)</f>
        <v>3</v>
      </c>
      <c r="O220" s="69" t="n">
        <f aca="false">IF(O$5="A",Inputs_Actuals!O157,N220)</f>
        <v>3</v>
      </c>
      <c r="P220" s="69" t="n">
        <f aca="false">IF(P$5="A",Inputs_Actuals!P157,O220*(1-Assumptions!$C$124*Assumptions!$F$170))</f>
        <v>2.46</v>
      </c>
      <c r="Q220" s="69" t="n">
        <f aca="false">IF(Q$5="A",Inputs_Actuals!Q157,P220)</f>
        <v>2.46</v>
      </c>
      <c r="R220" s="69" t="n">
        <f aca="false">IF(R$5="A",Inputs_Actuals!R157,Q220)</f>
        <v>2.46</v>
      </c>
      <c r="S220" s="69" t="n">
        <f aca="false">IF(S$5="A",Inputs_Actuals!S157,R220)</f>
        <v>2.46</v>
      </c>
      <c r="T220" s="69" t="n">
        <f aca="false">IF(T$5="A",Inputs_Actuals!T157,S220)</f>
        <v>2.46</v>
      </c>
      <c r="U220" s="69" t="n">
        <f aca="false">IF(U$5="A",Inputs_Actuals!U157,T220)</f>
        <v>2.46</v>
      </c>
      <c r="V220" s="69" t="n">
        <f aca="false">IF(V$5="A",Inputs_Actuals!V157,U220)</f>
        <v>2.46</v>
      </c>
      <c r="W220" s="69" t="n">
        <f aca="false">IF(W$5="A",Inputs_Actuals!W157,V220)</f>
        <v>2.46</v>
      </c>
      <c r="X220" s="69" t="n">
        <f aca="false">IF(X$5="A",Inputs_Actuals!X157,W220)</f>
        <v>2.46</v>
      </c>
      <c r="Y220" s="69" t="n">
        <f aca="false">IF(Y$5="A",Inputs_Actuals!Y157,X220)</f>
        <v>2.46</v>
      </c>
      <c r="Z220" s="69" t="n">
        <f aca="false">IF(Z$5="A",Inputs_Actuals!Z157,Y220)</f>
        <v>2.46</v>
      </c>
      <c r="AA220" s="69" t="n">
        <f aca="false">IF(AA$5="A",Inputs_Actuals!AA157,Z220)</f>
        <v>2.46</v>
      </c>
      <c r="AB220" s="69" t="n">
        <f aca="false">IF(AB$5="A",Inputs_Actuals!AB157,AA220*(1-Assumptions!$C$125*Assumptions!$F$170))</f>
        <v>2.214</v>
      </c>
    </row>
    <row r="221" customFormat="false" ht="15" hidden="false" customHeight="false" outlineLevel="0" collapsed="false">
      <c r="A221" s="28" t="s">
        <v>897</v>
      </c>
      <c r="B221" s="63" t="s">
        <v>937</v>
      </c>
      <c r="C221" s="68" t="n">
        <f aca="false">P221</f>
        <v>9</v>
      </c>
      <c r="D221" s="68" t="n">
        <f aca="false">AB221</f>
        <v>7.38</v>
      </c>
      <c r="E221" s="69" t="n">
        <f aca="false">IF(E$5="A",Inputs_Actuals!E158,New_Business!E13)</f>
        <v>9</v>
      </c>
      <c r="F221" s="69" t="n">
        <f aca="false">IF(F$5="A",Inputs_Actuals!F158,E221)</f>
        <v>9</v>
      </c>
      <c r="G221" s="69" t="n">
        <f aca="false">IF(G$5="A",Inputs_Actuals!G158,F221)</f>
        <v>9</v>
      </c>
      <c r="H221" s="69" t="n">
        <f aca="false">IF(H$5="A",Inputs_Actuals!H158,G221)</f>
        <v>9</v>
      </c>
      <c r="I221" s="69" t="n">
        <f aca="false">IF(I$5="A",Inputs_Actuals!I158,H221)</f>
        <v>9</v>
      </c>
      <c r="J221" s="69" t="n">
        <f aca="false">IF(J$5="A",Inputs_Actuals!J158,I221)</f>
        <v>9</v>
      </c>
      <c r="K221" s="69" t="n">
        <f aca="false">IF(K$5="A",Inputs_Actuals!K158,J221)</f>
        <v>9</v>
      </c>
      <c r="L221" s="69" t="n">
        <f aca="false">IF(L$5="A",Inputs_Actuals!L158,K221)</f>
        <v>9</v>
      </c>
      <c r="M221" s="69" t="n">
        <f aca="false">IF(M$5="A",Inputs_Actuals!M158,L221)</f>
        <v>9</v>
      </c>
      <c r="N221" s="69" t="n">
        <f aca="false">IF(N$5="A",Inputs_Actuals!N158,M221)</f>
        <v>9</v>
      </c>
      <c r="O221" s="69" t="n">
        <f aca="false">IF(O$5="A",Inputs_Actuals!O158,N221)</f>
        <v>9</v>
      </c>
      <c r="P221" s="69" t="n">
        <f aca="false">IF(P$5="A",Inputs_Actuals!P158,O221)</f>
        <v>9</v>
      </c>
      <c r="Q221" s="69" t="n">
        <f aca="false">IF(Q$5="A",Inputs_Actuals!Q158,P221*(1-Assumptions!$C$124*Assumptions!$F$170))</f>
        <v>7.38</v>
      </c>
      <c r="R221" s="69" t="n">
        <f aca="false">IF(R$5="A",Inputs_Actuals!R158,Q221)</f>
        <v>7.38</v>
      </c>
      <c r="S221" s="69" t="n">
        <f aca="false">IF(S$5="A",Inputs_Actuals!S158,R221)</f>
        <v>7.38</v>
      </c>
      <c r="T221" s="69" t="n">
        <f aca="false">IF(T$5="A",Inputs_Actuals!T158,S221)</f>
        <v>7.38</v>
      </c>
      <c r="U221" s="69" t="n">
        <f aca="false">IF(U$5="A",Inputs_Actuals!U158,T221)</f>
        <v>7.38</v>
      </c>
      <c r="V221" s="69" t="n">
        <f aca="false">IF(V$5="A",Inputs_Actuals!V158,U221)</f>
        <v>7.38</v>
      </c>
      <c r="W221" s="69" t="n">
        <f aca="false">IF(W$5="A",Inputs_Actuals!W158,V221)</f>
        <v>7.38</v>
      </c>
      <c r="X221" s="69" t="n">
        <f aca="false">IF(X$5="A",Inputs_Actuals!X158,W221)</f>
        <v>7.38</v>
      </c>
      <c r="Y221" s="69" t="n">
        <f aca="false">IF(Y$5="A",Inputs_Actuals!Y158,X221)</f>
        <v>7.38</v>
      </c>
      <c r="Z221" s="69" t="n">
        <f aca="false">IF(Z$5="A",Inputs_Actuals!Z158,Y221)</f>
        <v>7.38</v>
      </c>
      <c r="AA221" s="69" t="n">
        <f aca="false">IF(AA$5="A",Inputs_Actuals!AA158,Z221)</f>
        <v>7.38</v>
      </c>
      <c r="AB221" s="69" t="n">
        <f aca="false">IF(AB$5="A",Inputs_Actuals!AB158,AA221)</f>
        <v>7.38</v>
      </c>
    </row>
    <row r="222" customFormat="false" ht="15" hidden="false" customHeight="false" outlineLevel="0" collapsed="false">
      <c r="A222" s="28" t="s">
        <v>898</v>
      </c>
      <c r="B222" s="63" t="s">
        <v>937</v>
      </c>
      <c r="C222" s="68" t="n">
        <f aca="false">P222</f>
        <v>4</v>
      </c>
      <c r="D222" s="68" t="n">
        <f aca="false">AB222</f>
        <v>3.28</v>
      </c>
      <c r="E222" s="80" t="n">
        <f aca="false">0</f>
        <v>0</v>
      </c>
      <c r="F222" s="69" t="n">
        <f aca="false">IF(F$5="A",Inputs_Actuals!F159,New_Business!F13)</f>
        <v>4</v>
      </c>
      <c r="G222" s="69" t="n">
        <f aca="false">IF(G$5="A",Inputs_Actuals!G159,F222)</f>
        <v>4</v>
      </c>
      <c r="H222" s="69" t="n">
        <f aca="false">IF(H$5="A",Inputs_Actuals!H159,G222)</f>
        <v>4</v>
      </c>
      <c r="I222" s="69" t="n">
        <f aca="false">IF(I$5="A",Inputs_Actuals!I159,H222)</f>
        <v>4</v>
      </c>
      <c r="J222" s="69" t="n">
        <f aca="false">IF(J$5="A",Inputs_Actuals!J159,I222)</f>
        <v>4</v>
      </c>
      <c r="K222" s="69" t="n">
        <f aca="false">IF(K$5="A",Inputs_Actuals!K159,J222)</f>
        <v>4</v>
      </c>
      <c r="L222" s="69" t="n">
        <f aca="false">IF(L$5="A",Inputs_Actuals!L159,K222)</f>
        <v>4</v>
      </c>
      <c r="M222" s="69" t="n">
        <f aca="false">IF(M$5="A",Inputs_Actuals!M159,L222)</f>
        <v>4</v>
      </c>
      <c r="N222" s="69" t="n">
        <f aca="false">IF(N$5="A",Inputs_Actuals!N159,M222)</f>
        <v>4</v>
      </c>
      <c r="O222" s="69" t="n">
        <f aca="false">IF(O$5="A",Inputs_Actuals!O159,N222)</f>
        <v>4</v>
      </c>
      <c r="P222" s="69" t="n">
        <f aca="false">IF(P$5="A",Inputs_Actuals!P159,O222)</f>
        <v>4</v>
      </c>
      <c r="Q222" s="69" t="n">
        <f aca="false">IF(Q$5="A",Inputs_Actuals!Q159,P222)</f>
        <v>4</v>
      </c>
      <c r="R222" s="69" t="n">
        <f aca="false">IF(R$5="A",Inputs_Actuals!R159,Q222*(1-Assumptions!$C$124*Assumptions!$F$170))</f>
        <v>3.28</v>
      </c>
      <c r="S222" s="69" t="n">
        <f aca="false">IF(S$5="A",Inputs_Actuals!S159,R222)</f>
        <v>3.28</v>
      </c>
      <c r="T222" s="69" t="n">
        <f aca="false">IF(T$5="A",Inputs_Actuals!T159,S222)</f>
        <v>3.28</v>
      </c>
      <c r="U222" s="69" t="n">
        <f aca="false">IF(U$5="A",Inputs_Actuals!U159,T222)</f>
        <v>3.28</v>
      </c>
      <c r="V222" s="69" t="n">
        <f aca="false">IF(V$5="A",Inputs_Actuals!V159,U222)</f>
        <v>3.28</v>
      </c>
      <c r="W222" s="69" t="n">
        <f aca="false">IF(W$5="A",Inputs_Actuals!W159,V222)</f>
        <v>3.28</v>
      </c>
      <c r="X222" s="69" t="n">
        <f aca="false">IF(X$5="A",Inputs_Actuals!X159,W222)</f>
        <v>3.28</v>
      </c>
      <c r="Y222" s="69" t="n">
        <f aca="false">IF(Y$5="A",Inputs_Actuals!Y159,X222)</f>
        <v>3.28</v>
      </c>
      <c r="Z222" s="69" t="n">
        <f aca="false">IF(Z$5="A",Inputs_Actuals!Z159,Y222)</f>
        <v>3.28</v>
      </c>
      <c r="AA222" s="69" t="n">
        <f aca="false">IF(AA$5="A",Inputs_Actuals!AA159,Z222)</f>
        <v>3.28</v>
      </c>
      <c r="AB222" s="69" t="n">
        <f aca="false">IF(AB$5="A",Inputs_Actuals!AB159,AA222)</f>
        <v>3.28</v>
      </c>
    </row>
    <row r="223" customFormat="false" ht="15" hidden="false" customHeight="false" outlineLevel="0" collapsed="false">
      <c r="A223" s="28" t="s">
        <v>899</v>
      </c>
      <c r="B223" s="63" t="s">
        <v>937</v>
      </c>
      <c r="C223" s="68" t="n">
        <f aca="false">P223</f>
        <v>7</v>
      </c>
      <c r="D223" s="68" t="n">
        <f aca="false">AB223</f>
        <v>5.74</v>
      </c>
      <c r="E223" s="80" t="n">
        <f aca="false">0</f>
        <v>0</v>
      </c>
      <c r="F223" s="80" t="n">
        <f aca="false">0</f>
        <v>0</v>
      </c>
      <c r="G223" s="69" t="n">
        <f aca="false">IF(G$5="A",Inputs_Actuals!G160,New_Business!G13)</f>
        <v>7</v>
      </c>
      <c r="H223" s="69" t="n">
        <f aca="false">IF(H$5="A",Inputs_Actuals!H160,G223)</f>
        <v>7</v>
      </c>
      <c r="I223" s="69" t="n">
        <f aca="false">IF(I$5="A",Inputs_Actuals!I160,H223)</f>
        <v>7</v>
      </c>
      <c r="J223" s="69" t="n">
        <f aca="false">IF(J$5="A",Inputs_Actuals!J160,I223)</f>
        <v>7</v>
      </c>
      <c r="K223" s="69" t="n">
        <f aca="false">IF(K$5="A",Inputs_Actuals!K160,J223)</f>
        <v>7</v>
      </c>
      <c r="L223" s="69" t="n">
        <f aca="false">IF(L$5="A",Inputs_Actuals!L160,K223)</f>
        <v>7</v>
      </c>
      <c r="M223" s="69" t="n">
        <f aca="false">IF(M$5="A",Inputs_Actuals!M160,L223)</f>
        <v>7</v>
      </c>
      <c r="N223" s="69" t="n">
        <f aca="false">IF(N$5="A",Inputs_Actuals!N160,M223)</f>
        <v>7</v>
      </c>
      <c r="O223" s="69" t="n">
        <f aca="false">IF(O$5="A",Inputs_Actuals!O160,N223)</f>
        <v>7</v>
      </c>
      <c r="P223" s="69" t="n">
        <f aca="false">IF(P$5="A",Inputs_Actuals!P160,O223)</f>
        <v>7</v>
      </c>
      <c r="Q223" s="69" t="n">
        <f aca="false">IF(Q$5="A",Inputs_Actuals!Q160,P223)</f>
        <v>7</v>
      </c>
      <c r="R223" s="69" t="n">
        <f aca="false">IF(R$5="A",Inputs_Actuals!R160,Q223)</f>
        <v>7</v>
      </c>
      <c r="S223" s="69" t="n">
        <f aca="false">IF(S$5="A",Inputs_Actuals!S160,R223*(1-Assumptions!$C$124*Assumptions!$F$170))</f>
        <v>5.74</v>
      </c>
      <c r="T223" s="69" t="n">
        <f aca="false">IF(T$5="A",Inputs_Actuals!T160,S223)</f>
        <v>5.74</v>
      </c>
      <c r="U223" s="69" t="n">
        <f aca="false">IF(U$5="A",Inputs_Actuals!U160,T223)</f>
        <v>5.74</v>
      </c>
      <c r="V223" s="69" t="n">
        <f aca="false">IF(V$5="A",Inputs_Actuals!V160,U223)</f>
        <v>5.74</v>
      </c>
      <c r="W223" s="69" t="n">
        <f aca="false">IF(W$5="A",Inputs_Actuals!W160,V223)</f>
        <v>5.74</v>
      </c>
      <c r="X223" s="69" t="n">
        <f aca="false">IF(X$5="A",Inputs_Actuals!X160,W223)</f>
        <v>5.74</v>
      </c>
      <c r="Y223" s="69" t="n">
        <f aca="false">IF(Y$5="A",Inputs_Actuals!Y160,X223)</f>
        <v>5.74</v>
      </c>
      <c r="Z223" s="69" t="n">
        <f aca="false">IF(Z$5="A",Inputs_Actuals!Z160,Y223)</f>
        <v>5.74</v>
      </c>
      <c r="AA223" s="69" t="n">
        <f aca="false">IF(AA$5="A",Inputs_Actuals!AA160,Z223)</f>
        <v>5.74</v>
      </c>
      <c r="AB223" s="69" t="n">
        <f aca="false">IF(AB$5="A",Inputs_Actuals!AB160,AA223)</f>
        <v>5.74</v>
      </c>
    </row>
    <row r="224" customFormat="false" ht="15" hidden="false" customHeight="false" outlineLevel="0" collapsed="false">
      <c r="A224" s="28" t="s">
        <v>900</v>
      </c>
      <c r="B224" s="63" t="s">
        <v>937</v>
      </c>
      <c r="C224" s="68" t="n">
        <f aca="false">P224</f>
        <v>5</v>
      </c>
      <c r="D224" s="68" t="n">
        <f aca="false">AB224</f>
        <v>4.1</v>
      </c>
      <c r="E224" s="80" t="n">
        <f aca="false">0</f>
        <v>0</v>
      </c>
      <c r="F224" s="80" t="n">
        <f aca="false">0</f>
        <v>0</v>
      </c>
      <c r="G224" s="80" t="n">
        <f aca="false">0</f>
        <v>0</v>
      </c>
      <c r="H224" s="69" t="n">
        <f aca="false">IF(H$5="A",Inputs_Actuals!H161,New_Business!H13)</f>
        <v>5</v>
      </c>
      <c r="I224" s="69" t="n">
        <f aca="false">IF(I$5="A",Inputs_Actuals!I161,H224)</f>
        <v>5</v>
      </c>
      <c r="J224" s="69" t="n">
        <f aca="false">IF(J$5="A",Inputs_Actuals!J161,I224)</f>
        <v>5</v>
      </c>
      <c r="K224" s="69" t="n">
        <f aca="false">IF(K$5="A",Inputs_Actuals!K161,J224)</f>
        <v>5</v>
      </c>
      <c r="L224" s="69" t="n">
        <f aca="false">IF(L$5="A",Inputs_Actuals!L161,K224)</f>
        <v>5</v>
      </c>
      <c r="M224" s="69" t="n">
        <f aca="false">IF(M$5="A",Inputs_Actuals!M161,L224)</f>
        <v>5</v>
      </c>
      <c r="N224" s="69" t="n">
        <f aca="false">IF(N$5="A",Inputs_Actuals!N161,M224)</f>
        <v>5</v>
      </c>
      <c r="O224" s="69" t="n">
        <f aca="false">IF(O$5="A",Inputs_Actuals!O161,N224)</f>
        <v>5</v>
      </c>
      <c r="P224" s="69" t="n">
        <f aca="false">IF(P$5="A",Inputs_Actuals!P161,O224)</f>
        <v>5</v>
      </c>
      <c r="Q224" s="69" t="n">
        <f aca="false">IF(Q$5="A",Inputs_Actuals!Q161,P224)</f>
        <v>5</v>
      </c>
      <c r="R224" s="69" t="n">
        <f aca="false">IF(R$5="A",Inputs_Actuals!R161,Q224)</f>
        <v>5</v>
      </c>
      <c r="S224" s="69" t="n">
        <f aca="false">IF(S$5="A",Inputs_Actuals!S161,R224)</f>
        <v>5</v>
      </c>
      <c r="T224" s="69" t="n">
        <f aca="false">IF(T$5="A",Inputs_Actuals!T161,S224*(1-Assumptions!$C$124*Assumptions!$F$170))</f>
        <v>4.1</v>
      </c>
      <c r="U224" s="69" t="n">
        <f aca="false">IF(U$5="A",Inputs_Actuals!U161,T224)</f>
        <v>4.1</v>
      </c>
      <c r="V224" s="69" t="n">
        <f aca="false">IF(V$5="A",Inputs_Actuals!V161,U224)</f>
        <v>4.1</v>
      </c>
      <c r="W224" s="69" t="n">
        <f aca="false">IF(W$5="A",Inputs_Actuals!W161,V224)</f>
        <v>4.1</v>
      </c>
      <c r="X224" s="69" t="n">
        <f aca="false">IF(X$5="A",Inputs_Actuals!X161,W224)</f>
        <v>4.1</v>
      </c>
      <c r="Y224" s="69" t="n">
        <f aca="false">IF(Y$5="A",Inputs_Actuals!Y161,X224)</f>
        <v>4.1</v>
      </c>
      <c r="Z224" s="69" t="n">
        <f aca="false">IF(Z$5="A",Inputs_Actuals!Z161,Y224)</f>
        <v>4.1</v>
      </c>
      <c r="AA224" s="69" t="n">
        <f aca="false">IF(AA$5="A",Inputs_Actuals!AA161,Z224)</f>
        <v>4.1</v>
      </c>
      <c r="AB224" s="69" t="n">
        <f aca="false">IF(AB$5="A",Inputs_Actuals!AB161,AA224)</f>
        <v>4.1</v>
      </c>
    </row>
    <row r="225" customFormat="false" ht="15" hidden="false" customHeight="false" outlineLevel="0" collapsed="false">
      <c r="A225" s="28" t="s">
        <v>901</v>
      </c>
      <c r="B225" s="63" t="s">
        <v>937</v>
      </c>
      <c r="C225" s="68" t="n">
        <f aca="false">P225</f>
        <v>3</v>
      </c>
      <c r="D225" s="68" t="n">
        <f aca="false">AB225</f>
        <v>2.46</v>
      </c>
      <c r="E225" s="80" t="n">
        <f aca="false">0</f>
        <v>0</v>
      </c>
      <c r="F225" s="80" t="n">
        <f aca="false">0</f>
        <v>0</v>
      </c>
      <c r="G225" s="80" t="n">
        <f aca="false">0</f>
        <v>0</v>
      </c>
      <c r="H225" s="80" t="n">
        <f aca="false">0</f>
        <v>0</v>
      </c>
      <c r="I225" s="69" t="n">
        <f aca="false">IF(I$5="A",Inputs_Actuals!I162,New_Business!I13)</f>
        <v>3</v>
      </c>
      <c r="J225" s="69" t="n">
        <f aca="false">IF(J$5="A",Inputs_Actuals!J162,I225)</f>
        <v>3</v>
      </c>
      <c r="K225" s="69" t="n">
        <f aca="false">IF(K$5="A",Inputs_Actuals!K162,J225)</f>
        <v>3</v>
      </c>
      <c r="L225" s="69" t="n">
        <f aca="false">IF(L$5="A",Inputs_Actuals!L162,K225)</f>
        <v>3</v>
      </c>
      <c r="M225" s="69" t="n">
        <f aca="false">IF(M$5="A",Inputs_Actuals!M162,L225)</f>
        <v>3</v>
      </c>
      <c r="N225" s="69" t="n">
        <f aca="false">IF(N$5="A",Inputs_Actuals!N162,M225)</f>
        <v>3</v>
      </c>
      <c r="O225" s="69" t="n">
        <f aca="false">IF(O$5="A",Inputs_Actuals!O162,N225)</f>
        <v>3</v>
      </c>
      <c r="P225" s="69" t="n">
        <f aca="false">IF(P$5="A",Inputs_Actuals!P162,O225)</f>
        <v>3</v>
      </c>
      <c r="Q225" s="69" t="n">
        <f aca="false">IF(Q$5="A",Inputs_Actuals!Q162,P225)</f>
        <v>3</v>
      </c>
      <c r="R225" s="69" t="n">
        <f aca="false">IF(R$5="A",Inputs_Actuals!R162,Q225)</f>
        <v>3</v>
      </c>
      <c r="S225" s="69" t="n">
        <f aca="false">IF(S$5="A",Inputs_Actuals!S162,R225)</f>
        <v>3</v>
      </c>
      <c r="T225" s="69" t="n">
        <f aca="false">IF(T$5="A",Inputs_Actuals!T162,S225)</f>
        <v>3</v>
      </c>
      <c r="U225" s="69" t="n">
        <f aca="false">IF(U$5="A",Inputs_Actuals!U162,T225*(1-Assumptions!$C$124*Assumptions!$F$170))</f>
        <v>2.46</v>
      </c>
      <c r="V225" s="69" t="n">
        <f aca="false">IF(V$5="A",Inputs_Actuals!V162,U225)</f>
        <v>2.46</v>
      </c>
      <c r="W225" s="69" t="n">
        <f aca="false">IF(W$5="A",Inputs_Actuals!W162,V225)</f>
        <v>2.46</v>
      </c>
      <c r="X225" s="69" t="n">
        <f aca="false">IF(X$5="A",Inputs_Actuals!X162,W225)</f>
        <v>2.46</v>
      </c>
      <c r="Y225" s="69" t="n">
        <f aca="false">IF(Y$5="A",Inputs_Actuals!Y162,X225)</f>
        <v>2.46</v>
      </c>
      <c r="Z225" s="69" t="n">
        <f aca="false">IF(Z$5="A",Inputs_Actuals!Z162,Y225)</f>
        <v>2.46</v>
      </c>
      <c r="AA225" s="69" t="n">
        <f aca="false">IF(AA$5="A",Inputs_Actuals!AA162,Z225)</f>
        <v>2.46</v>
      </c>
      <c r="AB225" s="69" t="n">
        <f aca="false">IF(AB$5="A",Inputs_Actuals!AB162,AA225)</f>
        <v>2.46</v>
      </c>
    </row>
    <row r="226" customFormat="false" ht="15" hidden="false" customHeight="false" outlineLevel="0" collapsed="false">
      <c r="A226" s="28" t="s">
        <v>902</v>
      </c>
      <c r="B226" s="63" t="s">
        <v>937</v>
      </c>
      <c r="C226" s="68" t="n">
        <f aca="false">P226</f>
        <v>4</v>
      </c>
      <c r="D226" s="68" t="n">
        <f aca="false">AB226</f>
        <v>3.28</v>
      </c>
      <c r="E226" s="80" t="n">
        <f aca="false">0</f>
        <v>0</v>
      </c>
      <c r="F226" s="80" t="n">
        <f aca="false">0</f>
        <v>0</v>
      </c>
      <c r="G226" s="80" t="n">
        <f aca="false">0</f>
        <v>0</v>
      </c>
      <c r="H226" s="80" t="n">
        <f aca="false">0</f>
        <v>0</v>
      </c>
      <c r="I226" s="80" t="n">
        <f aca="false">0</f>
        <v>0</v>
      </c>
      <c r="J226" s="69" t="n">
        <f aca="false">IF(J$5="A",Inputs_Actuals!J163,New_Business!J13)</f>
        <v>4</v>
      </c>
      <c r="K226" s="69" t="n">
        <f aca="false">IF(K$5="A",Inputs_Actuals!K163,J226)</f>
        <v>4</v>
      </c>
      <c r="L226" s="69" t="n">
        <f aca="false">IF(L$5="A",Inputs_Actuals!L163,K226)</f>
        <v>4</v>
      </c>
      <c r="M226" s="69" t="n">
        <f aca="false">IF(M$5="A",Inputs_Actuals!M163,L226)</f>
        <v>4</v>
      </c>
      <c r="N226" s="69" t="n">
        <f aca="false">IF(N$5="A",Inputs_Actuals!N163,M226)</f>
        <v>4</v>
      </c>
      <c r="O226" s="69" t="n">
        <f aca="false">IF(O$5="A",Inputs_Actuals!O163,N226)</f>
        <v>4</v>
      </c>
      <c r="P226" s="69" t="n">
        <f aca="false">IF(P$5="A",Inputs_Actuals!P163,O226)</f>
        <v>4</v>
      </c>
      <c r="Q226" s="69" t="n">
        <f aca="false">IF(Q$5="A",Inputs_Actuals!Q163,P226)</f>
        <v>4</v>
      </c>
      <c r="R226" s="69" t="n">
        <f aca="false">IF(R$5="A",Inputs_Actuals!R163,Q226)</f>
        <v>4</v>
      </c>
      <c r="S226" s="69" t="n">
        <f aca="false">IF(S$5="A",Inputs_Actuals!S163,R226)</f>
        <v>4</v>
      </c>
      <c r="T226" s="69" t="n">
        <f aca="false">IF(T$5="A",Inputs_Actuals!T163,S226)</f>
        <v>4</v>
      </c>
      <c r="U226" s="69" t="n">
        <f aca="false">IF(U$5="A",Inputs_Actuals!U163,T226)</f>
        <v>4</v>
      </c>
      <c r="V226" s="69" t="n">
        <f aca="false">IF(V$5="A",Inputs_Actuals!V163,U226*(1-Assumptions!$C$124*Assumptions!$F$170))</f>
        <v>3.28</v>
      </c>
      <c r="W226" s="69" t="n">
        <f aca="false">IF(W$5="A",Inputs_Actuals!W163,V226)</f>
        <v>3.28</v>
      </c>
      <c r="X226" s="69" t="n">
        <f aca="false">IF(X$5="A",Inputs_Actuals!X163,W226)</f>
        <v>3.28</v>
      </c>
      <c r="Y226" s="69" t="n">
        <f aca="false">IF(Y$5="A",Inputs_Actuals!Y163,X226)</f>
        <v>3.28</v>
      </c>
      <c r="Z226" s="69" t="n">
        <f aca="false">IF(Z$5="A",Inputs_Actuals!Z163,Y226)</f>
        <v>3.28</v>
      </c>
      <c r="AA226" s="69" t="n">
        <f aca="false">IF(AA$5="A",Inputs_Actuals!AA163,Z226)</f>
        <v>3.28</v>
      </c>
      <c r="AB226" s="69" t="n">
        <f aca="false">IF(AB$5="A",Inputs_Actuals!AB163,AA226)</f>
        <v>3.28</v>
      </c>
    </row>
    <row r="227" customFormat="false" ht="15" hidden="false" customHeight="false" outlineLevel="0" collapsed="false">
      <c r="A227" s="28" t="s">
        <v>903</v>
      </c>
      <c r="B227" s="63" t="s">
        <v>937</v>
      </c>
      <c r="C227" s="68" t="n">
        <f aca="false">P227</f>
        <v>4</v>
      </c>
      <c r="D227" s="68" t="n">
        <f aca="false">AB227</f>
        <v>3.28</v>
      </c>
      <c r="E227" s="80" t="n">
        <f aca="false">0</f>
        <v>0</v>
      </c>
      <c r="F227" s="80" t="n">
        <f aca="false">0</f>
        <v>0</v>
      </c>
      <c r="G227" s="80" t="n">
        <f aca="false">0</f>
        <v>0</v>
      </c>
      <c r="H227" s="80" t="n">
        <f aca="false">0</f>
        <v>0</v>
      </c>
      <c r="I227" s="80" t="n">
        <f aca="false">0</f>
        <v>0</v>
      </c>
      <c r="J227" s="80" t="n">
        <f aca="false">0</f>
        <v>0</v>
      </c>
      <c r="K227" s="69" t="n">
        <f aca="false">IF(K$5="A",Inputs_Actuals!K164,New_Business!K13)</f>
        <v>4</v>
      </c>
      <c r="L227" s="69" t="n">
        <f aca="false">IF(L$5="A",Inputs_Actuals!L164,K227)</f>
        <v>4</v>
      </c>
      <c r="M227" s="69" t="n">
        <f aca="false">IF(M$5="A",Inputs_Actuals!M164,L227)</f>
        <v>4</v>
      </c>
      <c r="N227" s="69" t="n">
        <f aca="false">IF(N$5="A",Inputs_Actuals!N164,M227)</f>
        <v>4</v>
      </c>
      <c r="O227" s="69" t="n">
        <f aca="false">IF(O$5="A",Inputs_Actuals!O164,N227)</f>
        <v>4</v>
      </c>
      <c r="P227" s="69" t="n">
        <f aca="false">IF(P$5="A",Inputs_Actuals!P164,O227)</f>
        <v>4</v>
      </c>
      <c r="Q227" s="69" t="n">
        <f aca="false">IF(Q$5="A",Inputs_Actuals!Q164,P227)</f>
        <v>4</v>
      </c>
      <c r="R227" s="69" t="n">
        <f aca="false">IF(R$5="A",Inputs_Actuals!R164,Q227)</f>
        <v>4</v>
      </c>
      <c r="S227" s="69" t="n">
        <f aca="false">IF(S$5="A",Inputs_Actuals!S164,R227)</f>
        <v>4</v>
      </c>
      <c r="T227" s="69" t="n">
        <f aca="false">IF(T$5="A",Inputs_Actuals!T164,S227)</f>
        <v>4</v>
      </c>
      <c r="U227" s="69" t="n">
        <f aca="false">IF(U$5="A",Inputs_Actuals!U164,T227)</f>
        <v>4</v>
      </c>
      <c r="V227" s="69" t="n">
        <f aca="false">IF(V$5="A",Inputs_Actuals!V164,U227)</f>
        <v>4</v>
      </c>
      <c r="W227" s="69" t="n">
        <f aca="false">IF(W$5="A",Inputs_Actuals!W164,V227*(1-Assumptions!$C$124*Assumptions!$F$170))</f>
        <v>3.28</v>
      </c>
      <c r="X227" s="69" t="n">
        <f aca="false">IF(X$5="A",Inputs_Actuals!X164,W227)</f>
        <v>3.28</v>
      </c>
      <c r="Y227" s="69" t="n">
        <f aca="false">IF(Y$5="A",Inputs_Actuals!Y164,X227)</f>
        <v>3.28</v>
      </c>
      <c r="Z227" s="69" t="n">
        <f aca="false">IF(Z$5="A",Inputs_Actuals!Z164,Y227)</f>
        <v>3.28</v>
      </c>
      <c r="AA227" s="69" t="n">
        <f aca="false">IF(AA$5="A",Inputs_Actuals!AA164,Z227)</f>
        <v>3.28</v>
      </c>
      <c r="AB227" s="69" t="n">
        <f aca="false">IF(AB$5="A",Inputs_Actuals!AB164,AA227)</f>
        <v>3.28</v>
      </c>
    </row>
    <row r="228" customFormat="false" ht="15" hidden="false" customHeight="false" outlineLevel="0" collapsed="false">
      <c r="A228" s="28" t="s">
        <v>904</v>
      </c>
      <c r="B228" s="63" t="s">
        <v>937</v>
      </c>
      <c r="C228" s="68" t="n">
        <f aca="false">P228</f>
        <v>5</v>
      </c>
      <c r="D228" s="68" t="n">
        <f aca="false">AB228</f>
        <v>4.1</v>
      </c>
      <c r="E228" s="80" t="n">
        <f aca="false">0</f>
        <v>0</v>
      </c>
      <c r="F228" s="80" t="n">
        <f aca="false">0</f>
        <v>0</v>
      </c>
      <c r="G228" s="80" t="n">
        <f aca="false">0</f>
        <v>0</v>
      </c>
      <c r="H228" s="80" t="n">
        <f aca="false">0</f>
        <v>0</v>
      </c>
      <c r="I228" s="80" t="n">
        <f aca="false">0</f>
        <v>0</v>
      </c>
      <c r="J228" s="80" t="n">
        <f aca="false">0</f>
        <v>0</v>
      </c>
      <c r="K228" s="80" t="n">
        <f aca="false">0</f>
        <v>0</v>
      </c>
      <c r="L228" s="69" t="n">
        <f aca="false">IF(L$5="A",Inputs_Actuals!L165,New_Business!L13)</f>
        <v>5</v>
      </c>
      <c r="M228" s="69" t="n">
        <f aca="false">IF(M$5="A",Inputs_Actuals!M165,L228)</f>
        <v>5</v>
      </c>
      <c r="N228" s="69" t="n">
        <f aca="false">IF(N$5="A",Inputs_Actuals!N165,M228)</f>
        <v>5</v>
      </c>
      <c r="O228" s="69" t="n">
        <f aca="false">IF(O$5="A",Inputs_Actuals!O165,N228)</f>
        <v>5</v>
      </c>
      <c r="P228" s="69" t="n">
        <f aca="false">IF(P$5="A",Inputs_Actuals!P165,O228)</f>
        <v>5</v>
      </c>
      <c r="Q228" s="69" t="n">
        <f aca="false">IF(Q$5="A",Inputs_Actuals!Q165,P228)</f>
        <v>5</v>
      </c>
      <c r="R228" s="69" t="n">
        <f aca="false">IF(R$5="A",Inputs_Actuals!R165,Q228)</f>
        <v>5</v>
      </c>
      <c r="S228" s="69" t="n">
        <f aca="false">IF(S$5="A",Inputs_Actuals!S165,R228)</f>
        <v>5</v>
      </c>
      <c r="T228" s="69" t="n">
        <f aca="false">IF(T$5="A",Inputs_Actuals!T165,S228)</f>
        <v>5</v>
      </c>
      <c r="U228" s="69" t="n">
        <f aca="false">IF(U$5="A",Inputs_Actuals!U165,T228)</f>
        <v>5</v>
      </c>
      <c r="V228" s="69" t="n">
        <f aca="false">IF(V$5="A",Inputs_Actuals!V165,U228)</f>
        <v>5</v>
      </c>
      <c r="W228" s="69" t="n">
        <f aca="false">IF(W$5="A",Inputs_Actuals!W165,V228)</f>
        <v>5</v>
      </c>
      <c r="X228" s="69" t="n">
        <f aca="false">IF(X$5="A",Inputs_Actuals!X165,W228*(1-Assumptions!$C$124*Assumptions!$F$170))</f>
        <v>4.1</v>
      </c>
      <c r="Y228" s="69" t="n">
        <f aca="false">IF(Y$5="A",Inputs_Actuals!Y165,X228)</f>
        <v>4.1</v>
      </c>
      <c r="Z228" s="69" t="n">
        <f aca="false">IF(Z$5="A",Inputs_Actuals!Z165,Y228)</f>
        <v>4.1</v>
      </c>
      <c r="AA228" s="69" t="n">
        <f aca="false">IF(AA$5="A",Inputs_Actuals!AA165,Z228)</f>
        <v>4.1</v>
      </c>
      <c r="AB228" s="69" t="n">
        <f aca="false">IF(AB$5="A",Inputs_Actuals!AB165,AA228)</f>
        <v>4.1</v>
      </c>
    </row>
    <row r="229" customFormat="false" ht="15" hidden="false" customHeight="false" outlineLevel="0" collapsed="false">
      <c r="A229" s="28" t="s">
        <v>905</v>
      </c>
      <c r="B229" s="63" t="s">
        <v>937</v>
      </c>
      <c r="C229" s="68" t="n">
        <f aca="false">P229</f>
        <v>4.46531</v>
      </c>
      <c r="D229" s="68" t="n">
        <f aca="false">AB229</f>
        <v>3.6615542</v>
      </c>
      <c r="E229" s="80" t="n">
        <f aca="false">0</f>
        <v>0</v>
      </c>
      <c r="F229" s="80" t="n">
        <f aca="false">0</f>
        <v>0</v>
      </c>
      <c r="G229" s="80" t="n">
        <f aca="false">0</f>
        <v>0</v>
      </c>
      <c r="H229" s="80" t="n">
        <f aca="false">0</f>
        <v>0</v>
      </c>
      <c r="I229" s="80" t="n">
        <f aca="false">0</f>
        <v>0</v>
      </c>
      <c r="J229" s="80" t="n">
        <f aca="false">0</f>
        <v>0</v>
      </c>
      <c r="K229" s="80" t="n">
        <f aca="false">0</f>
        <v>0</v>
      </c>
      <c r="L229" s="80" t="n">
        <f aca="false">0</f>
        <v>0</v>
      </c>
      <c r="M229" s="69" t="n">
        <f aca="false">IF(M$5="A",0,New_Business!M13)</f>
        <v>4.46531</v>
      </c>
      <c r="N229" s="80" t="n">
        <f aca="false">IF(N$5="A",0,M229)</f>
        <v>4.46531</v>
      </c>
      <c r="O229" s="80" t="n">
        <f aca="false">IF(O$5="A",0,N229)</f>
        <v>4.46531</v>
      </c>
      <c r="P229" s="80" t="n">
        <f aca="false">IF(P$5="A",0,O229)</f>
        <v>4.46531</v>
      </c>
      <c r="Q229" s="80" t="n">
        <f aca="false">IF(Q$5="A",0,P229)</f>
        <v>4.46531</v>
      </c>
      <c r="R229" s="80" t="n">
        <f aca="false">IF(R$5="A",0,Q229)</f>
        <v>4.46531</v>
      </c>
      <c r="S229" s="80" t="n">
        <f aca="false">IF(S$5="A",0,R229)</f>
        <v>4.46531</v>
      </c>
      <c r="T229" s="80" t="n">
        <f aca="false">IF(T$5="A",0,S229)</f>
        <v>4.46531</v>
      </c>
      <c r="U229" s="80" t="n">
        <f aca="false">IF(U$5="A",0,T229)</f>
        <v>4.46531</v>
      </c>
      <c r="V229" s="80" t="n">
        <f aca="false">IF(V$5="A",0,U229)</f>
        <v>4.46531</v>
      </c>
      <c r="W229" s="80" t="n">
        <f aca="false">IF(W$5="A",0,V229)</f>
        <v>4.46531</v>
      </c>
      <c r="X229" s="80" t="n">
        <f aca="false">IF(X$5="A",0,W229)</f>
        <v>4.46531</v>
      </c>
      <c r="Y229" s="69" t="n">
        <f aca="false">IF(Y$5="A",0,X229*(1-Assumptions!$C$124*Assumptions!$F$170))</f>
        <v>3.6615542</v>
      </c>
      <c r="Z229" s="80" t="n">
        <f aca="false">IF(Z$5="A",0,Y229)</f>
        <v>3.6615542</v>
      </c>
      <c r="AA229" s="80" t="n">
        <f aca="false">IF(AA$5="A",0,Z229)</f>
        <v>3.6615542</v>
      </c>
      <c r="AB229" s="80" t="n">
        <f aca="false">IF(AB$5="A",0,AA229)</f>
        <v>3.6615542</v>
      </c>
    </row>
    <row r="230" customFormat="false" ht="15" hidden="false" customHeight="false" outlineLevel="0" collapsed="false">
      <c r="A230" s="28" t="s">
        <v>906</v>
      </c>
      <c r="B230" s="63" t="s">
        <v>937</v>
      </c>
      <c r="C230" s="68" t="n">
        <f aca="false">P230</f>
        <v>4.63054</v>
      </c>
      <c r="D230" s="68" t="n">
        <f aca="false">AB230</f>
        <v>3.7970428</v>
      </c>
      <c r="E230" s="80" t="n">
        <f aca="false">0</f>
        <v>0</v>
      </c>
      <c r="F230" s="80" t="n">
        <f aca="false">0</f>
        <v>0</v>
      </c>
      <c r="G230" s="80" t="n">
        <f aca="false">0</f>
        <v>0</v>
      </c>
      <c r="H230" s="80" t="n">
        <f aca="false">0</f>
        <v>0</v>
      </c>
      <c r="I230" s="80" t="n">
        <f aca="false">0</f>
        <v>0</v>
      </c>
      <c r="J230" s="80" t="n">
        <f aca="false">0</f>
        <v>0</v>
      </c>
      <c r="K230" s="80" t="n">
        <f aca="false">0</f>
        <v>0</v>
      </c>
      <c r="L230" s="80" t="n">
        <f aca="false">0</f>
        <v>0</v>
      </c>
      <c r="M230" s="80" t="n">
        <f aca="false">0</f>
        <v>0</v>
      </c>
      <c r="N230" s="69" t="n">
        <f aca="false">IF(N$5="A",0,New_Business!N13)</f>
        <v>4.63054</v>
      </c>
      <c r="O230" s="80" t="n">
        <f aca="false">IF(O$5="A",0,N230)</f>
        <v>4.63054</v>
      </c>
      <c r="P230" s="80" t="n">
        <f aca="false">IF(P$5="A",0,O230)</f>
        <v>4.63054</v>
      </c>
      <c r="Q230" s="80" t="n">
        <f aca="false">IF(Q$5="A",0,P230)</f>
        <v>4.63054</v>
      </c>
      <c r="R230" s="80" t="n">
        <f aca="false">IF(R$5="A",0,Q230)</f>
        <v>4.63054</v>
      </c>
      <c r="S230" s="80" t="n">
        <f aca="false">IF(S$5="A",0,R230)</f>
        <v>4.63054</v>
      </c>
      <c r="T230" s="80" t="n">
        <f aca="false">IF(T$5="A",0,S230)</f>
        <v>4.63054</v>
      </c>
      <c r="U230" s="80" t="n">
        <f aca="false">IF(U$5="A",0,T230)</f>
        <v>4.63054</v>
      </c>
      <c r="V230" s="80" t="n">
        <f aca="false">IF(V$5="A",0,U230)</f>
        <v>4.63054</v>
      </c>
      <c r="W230" s="80" t="n">
        <f aca="false">IF(W$5="A",0,V230)</f>
        <v>4.63054</v>
      </c>
      <c r="X230" s="80" t="n">
        <f aca="false">IF(X$5="A",0,W230)</f>
        <v>4.63054</v>
      </c>
      <c r="Y230" s="80" t="n">
        <f aca="false">IF(Y$5="A",0,X230)</f>
        <v>4.63054</v>
      </c>
      <c r="Z230" s="69" t="n">
        <f aca="false">IF(Z$5="A",0,Y230*(1-Assumptions!$C$124*Assumptions!$F$170))</f>
        <v>3.7970428</v>
      </c>
      <c r="AA230" s="80" t="n">
        <f aca="false">IF(AA$5="A",0,Z230)</f>
        <v>3.7970428</v>
      </c>
      <c r="AB230" s="80" t="n">
        <f aca="false">IF(AB$5="A",0,AA230)</f>
        <v>3.7970428</v>
      </c>
    </row>
    <row r="231" customFormat="false" ht="15" hidden="false" customHeight="false" outlineLevel="0" collapsed="false">
      <c r="A231" s="28" t="s">
        <v>907</v>
      </c>
      <c r="B231" s="63" t="s">
        <v>937</v>
      </c>
      <c r="C231" s="68" t="n">
        <f aca="false">P231</f>
        <v>4.21726</v>
      </c>
      <c r="D231" s="68" t="n">
        <f aca="false">AB231</f>
        <v>3.4581532</v>
      </c>
      <c r="E231" s="80" t="n">
        <f aca="false">0</f>
        <v>0</v>
      </c>
      <c r="F231" s="80" t="n">
        <f aca="false">0</f>
        <v>0</v>
      </c>
      <c r="G231" s="80" t="n">
        <f aca="false">0</f>
        <v>0</v>
      </c>
      <c r="H231" s="80" t="n">
        <f aca="false">0</f>
        <v>0</v>
      </c>
      <c r="I231" s="80" t="n">
        <f aca="false">0</f>
        <v>0</v>
      </c>
      <c r="J231" s="80" t="n">
        <f aca="false">0</f>
        <v>0</v>
      </c>
      <c r="K231" s="80" t="n">
        <f aca="false">0</f>
        <v>0</v>
      </c>
      <c r="L231" s="80" t="n">
        <f aca="false">0</f>
        <v>0</v>
      </c>
      <c r="M231" s="80" t="n">
        <f aca="false">0</f>
        <v>0</v>
      </c>
      <c r="N231" s="80" t="n">
        <f aca="false">0</f>
        <v>0</v>
      </c>
      <c r="O231" s="69" t="n">
        <f aca="false">IF(O$5="A",0,New_Business!O13)</f>
        <v>4.21726</v>
      </c>
      <c r="P231" s="80" t="n">
        <f aca="false">IF(P$5="A",0,O231)</f>
        <v>4.21726</v>
      </c>
      <c r="Q231" s="80" t="n">
        <f aca="false">IF(Q$5="A",0,P231)</f>
        <v>4.21726</v>
      </c>
      <c r="R231" s="80" t="n">
        <f aca="false">IF(R$5="A",0,Q231)</f>
        <v>4.21726</v>
      </c>
      <c r="S231" s="80" t="n">
        <f aca="false">IF(S$5="A",0,R231)</f>
        <v>4.21726</v>
      </c>
      <c r="T231" s="80" t="n">
        <f aca="false">IF(T$5="A",0,S231)</f>
        <v>4.21726</v>
      </c>
      <c r="U231" s="80" t="n">
        <f aca="false">IF(U$5="A",0,T231)</f>
        <v>4.21726</v>
      </c>
      <c r="V231" s="80" t="n">
        <f aca="false">IF(V$5="A",0,U231)</f>
        <v>4.21726</v>
      </c>
      <c r="W231" s="80" t="n">
        <f aca="false">IF(W$5="A",0,V231)</f>
        <v>4.21726</v>
      </c>
      <c r="X231" s="80" t="n">
        <f aca="false">IF(X$5="A",0,W231)</f>
        <v>4.21726</v>
      </c>
      <c r="Y231" s="80" t="n">
        <f aca="false">IF(Y$5="A",0,X231)</f>
        <v>4.21726</v>
      </c>
      <c r="Z231" s="80" t="n">
        <f aca="false">IF(Z$5="A",0,Y231)</f>
        <v>4.21726</v>
      </c>
      <c r="AA231" s="69" t="n">
        <f aca="false">IF(AA$5="A",0,Z231*(1-Assumptions!$C$124*Assumptions!$F$170))</f>
        <v>3.4581532</v>
      </c>
      <c r="AB231" s="80" t="n">
        <f aca="false">IF(AB$5="A",0,AA231)</f>
        <v>3.4581532</v>
      </c>
    </row>
    <row r="232" customFormat="false" ht="15" hidden="false" customHeight="false" outlineLevel="0" collapsed="false">
      <c r="A232" s="28" t="s">
        <v>908</v>
      </c>
      <c r="B232" s="63" t="s">
        <v>937</v>
      </c>
      <c r="C232" s="68" t="n">
        <f aca="false">P232</f>
        <v>3.51411</v>
      </c>
      <c r="D232" s="68" t="n">
        <f aca="false">AB232</f>
        <v>2.8815702</v>
      </c>
      <c r="E232" s="80" t="n">
        <f aca="false">0</f>
        <v>0</v>
      </c>
      <c r="F232" s="80" t="n">
        <f aca="false">0</f>
        <v>0</v>
      </c>
      <c r="G232" s="80" t="n">
        <f aca="false">0</f>
        <v>0</v>
      </c>
      <c r="H232" s="80" t="n">
        <f aca="false">0</f>
        <v>0</v>
      </c>
      <c r="I232" s="80" t="n">
        <f aca="false">0</f>
        <v>0</v>
      </c>
      <c r="J232" s="80" t="n">
        <f aca="false">0</f>
        <v>0</v>
      </c>
      <c r="K232" s="80" t="n">
        <f aca="false">0</f>
        <v>0</v>
      </c>
      <c r="L232" s="80" t="n">
        <f aca="false">0</f>
        <v>0</v>
      </c>
      <c r="M232" s="80" t="n">
        <f aca="false">0</f>
        <v>0</v>
      </c>
      <c r="N232" s="80" t="n">
        <f aca="false">0</f>
        <v>0</v>
      </c>
      <c r="O232" s="80" t="n">
        <f aca="false">0</f>
        <v>0</v>
      </c>
      <c r="P232" s="69" t="n">
        <f aca="false">IF(P$5="A",0,New_Business!P13)</f>
        <v>3.51411</v>
      </c>
      <c r="Q232" s="80" t="n">
        <f aca="false">IF(Q$5="A",0,P232)</f>
        <v>3.51411</v>
      </c>
      <c r="R232" s="80" t="n">
        <f aca="false">IF(R$5="A",0,Q232)</f>
        <v>3.51411</v>
      </c>
      <c r="S232" s="80" t="n">
        <f aca="false">IF(S$5="A",0,R232)</f>
        <v>3.51411</v>
      </c>
      <c r="T232" s="80" t="n">
        <f aca="false">IF(T$5="A",0,S232)</f>
        <v>3.51411</v>
      </c>
      <c r="U232" s="80" t="n">
        <f aca="false">IF(U$5="A",0,T232)</f>
        <v>3.51411</v>
      </c>
      <c r="V232" s="80" t="n">
        <f aca="false">IF(V$5="A",0,U232)</f>
        <v>3.51411</v>
      </c>
      <c r="W232" s="80" t="n">
        <f aca="false">IF(W$5="A",0,V232)</f>
        <v>3.51411</v>
      </c>
      <c r="X232" s="80" t="n">
        <f aca="false">IF(X$5="A",0,W232)</f>
        <v>3.51411</v>
      </c>
      <c r="Y232" s="80" t="n">
        <f aca="false">IF(Y$5="A",0,X232)</f>
        <v>3.51411</v>
      </c>
      <c r="Z232" s="80" t="n">
        <f aca="false">IF(Z$5="A",0,Y232)</f>
        <v>3.51411</v>
      </c>
      <c r="AA232" s="80" t="n">
        <f aca="false">IF(AA$5="A",0,Z232)</f>
        <v>3.51411</v>
      </c>
      <c r="AB232" s="69" t="n">
        <f aca="false">IF(AB$5="A",0,AA232*(1-Assumptions!$C$124*Assumptions!$F$170))</f>
        <v>2.8815702</v>
      </c>
    </row>
    <row r="233" customFormat="false" ht="15" hidden="false" customHeight="false" outlineLevel="0" collapsed="false">
      <c r="A233" s="28" t="s">
        <v>909</v>
      </c>
      <c r="B233" s="63" t="s">
        <v>937</v>
      </c>
      <c r="C233" s="68" t="n">
        <f aca="false">P233</f>
        <v>0</v>
      </c>
      <c r="D233" s="68" t="n">
        <f aca="false">AB233</f>
        <v>5.04423</v>
      </c>
      <c r="E233" s="80" t="n">
        <f aca="false">0</f>
        <v>0</v>
      </c>
      <c r="F233" s="80" t="n">
        <f aca="false">0</f>
        <v>0</v>
      </c>
      <c r="G233" s="80" t="n">
        <f aca="false">0</f>
        <v>0</v>
      </c>
      <c r="H233" s="80" t="n">
        <f aca="false">0</f>
        <v>0</v>
      </c>
      <c r="I233" s="80" t="n">
        <f aca="false">0</f>
        <v>0</v>
      </c>
      <c r="J233" s="80" t="n">
        <f aca="false">0</f>
        <v>0</v>
      </c>
      <c r="K233" s="80" t="n">
        <f aca="false">0</f>
        <v>0</v>
      </c>
      <c r="L233" s="80" t="n">
        <f aca="false">0</f>
        <v>0</v>
      </c>
      <c r="M233" s="80" t="n">
        <f aca="false">0</f>
        <v>0</v>
      </c>
      <c r="N233" s="80" t="n">
        <f aca="false">0</f>
        <v>0</v>
      </c>
      <c r="O233" s="80" t="n">
        <f aca="false">0</f>
        <v>0</v>
      </c>
      <c r="P233" s="80" t="n">
        <f aca="false">0</f>
        <v>0</v>
      </c>
      <c r="Q233" s="69" t="n">
        <f aca="false">IF(Q$5="A",0,New_Business!Q13)</f>
        <v>5.04423</v>
      </c>
      <c r="R233" s="80" t="n">
        <f aca="false">IF(R$5="A",0,Q233)</f>
        <v>5.04423</v>
      </c>
      <c r="S233" s="80" t="n">
        <f aca="false">IF(S$5="A",0,R233)</f>
        <v>5.04423</v>
      </c>
      <c r="T233" s="80" t="n">
        <f aca="false">IF(T$5="A",0,S233)</f>
        <v>5.04423</v>
      </c>
      <c r="U233" s="80" t="n">
        <f aca="false">IF(U$5="A",0,T233)</f>
        <v>5.04423</v>
      </c>
      <c r="V233" s="80" t="n">
        <f aca="false">IF(V$5="A",0,U233)</f>
        <v>5.04423</v>
      </c>
      <c r="W233" s="80" t="n">
        <f aca="false">IF(W$5="A",0,V233)</f>
        <v>5.04423</v>
      </c>
      <c r="X233" s="80" t="n">
        <f aca="false">IF(X$5="A",0,W233)</f>
        <v>5.04423</v>
      </c>
      <c r="Y233" s="80" t="n">
        <f aca="false">IF(Y$5="A",0,X233)</f>
        <v>5.04423</v>
      </c>
      <c r="Z233" s="80" t="n">
        <f aca="false">IF(Z$5="A",0,Y233)</f>
        <v>5.04423</v>
      </c>
      <c r="AA233" s="80" t="n">
        <f aca="false">IF(AA$5="A",0,Z233)</f>
        <v>5.04423</v>
      </c>
      <c r="AB233" s="80" t="n">
        <f aca="false">IF(AB$5="A",0,AA233)</f>
        <v>5.04423</v>
      </c>
    </row>
    <row r="234" customFormat="false" ht="15" hidden="false" customHeight="false" outlineLevel="0" collapsed="false">
      <c r="A234" s="28" t="s">
        <v>910</v>
      </c>
      <c r="B234" s="63" t="s">
        <v>937</v>
      </c>
      <c r="C234" s="68" t="n">
        <f aca="false">P234</f>
        <v>0</v>
      </c>
      <c r="D234" s="68" t="n">
        <f aca="false">AB234</f>
        <v>4.46531</v>
      </c>
      <c r="E234" s="80" t="n">
        <f aca="false">0</f>
        <v>0</v>
      </c>
      <c r="F234" s="80" t="n">
        <f aca="false">0</f>
        <v>0</v>
      </c>
      <c r="G234" s="80" t="n">
        <f aca="false">0</f>
        <v>0</v>
      </c>
      <c r="H234" s="80" t="n">
        <f aca="false">0</f>
        <v>0</v>
      </c>
      <c r="I234" s="80" t="n">
        <f aca="false">0</f>
        <v>0</v>
      </c>
      <c r="J234" s="80" t="n">
        <f aca="false">0</f>
        <v>0</v>
      </c>
      <c r="K234" s="80" t="n">
        <f aca="false">0</f>
        <v>0</v>
      </c>
      <c r="L234" s="80" t="n">
        <f aca="false">0</f>
        <v>0</v>
      </c>
      <c r="M234" s="80" t="n">
        <f aca="false">0</f>
        <v>0</v>
      </c>
      <c r="N234" s="80" t="n">
        <f aca="false">0</f>
        <v>0</v>
      </c>
      <c r="O234" s="80" t="n">
        <f aca="false">0</f>
        <v>0</v>
      </c>
      <c r="P234" s="80" t="n">
        <f aca="false">0</f>
        <v>0</v>
      </c>
      <c r="Q234" s="80" t="n">
        <f aca="false">0</f>
        <v>0</v>
      </c>
      <c r="R234" s="69" t="n">
        <f aca="false">IF(R$5="A",0,New_Business!R13)</f>
        <v>4.46531</v>
      </c>
      <c r="S234" s="80" t="n">
        <f aca="false">IF(S$5="A",0,R234)</f>
        <v>4.46531</v>
      </c>
      <c r="T234" s="80" t="n">
        <f aca="false">IF(T$5="A",0,S234)</f>
        <v>4.46531</v>
      </c>
      <c r="U234" s="80" t="n">
        <f aca="false">IF(U$5="A",0,T234)</f>
        <v>4.46531</v>
      </c>
      <c r="V234" s="80" t="n">
        <f aca="false">IF(V$5="A",0,U234)</f>
        <v>4.46531</v>
      </c>
      <c r="W234" s="80" t="n">
        <f aca="false">IF(W$5="A",0,V234)</f>
        <v>4.46531</v>
      </c>
      <c r="X234" s="80" t="n">
        <f aca="false">IF(X$5="A",0,W234)</f>
        <v>4.46531</v>
      </c>
      <c r="Y234" s="80" t="n">
        <f aca="false">IF(Y$5="A",0,X234)</f>
        <v>4.46531</v>
      </c>
      <c r="Z234" s="80" t="n">
        <f aca="false">IF(Z$5="A",0,Y234)</f>
        <v>4.46531</v>
      </c>
      <c r="AA234" s="80" t="n">
        <f aca="false">IF(AA$5="A",0,Z234)</f>
        <v>4.46531</v>
      </c>
      <c r="AB234" s="80" t="n">
        <f aca="false">IF(AB$5="A",0,AA234)</f>
        <v>4.46531</v>
      </c>
    </row>
    <row r="235" customFormat="false" ht="15" hidden="false" customHeight="false" outlineLevel="0" collapsed="false">
      <c r="A235" s="28" t="s">
        <v>911</v>
      </c>
      <c r="B235" s="63" t="s">
        <v>937</v>
      </c>
      <c r="C235" s="68" t="n">
        <f aca="false">P235</f>
        <v>0</v>
      </c>
      <c r="D235" s="68" t="n">
        <f aca="false">AB235</f>
        <v>4.34108</v>
      </c>
      <c r="E235" s="80" t="n">
        <f aca="false">0</f>
        <v>0</v>
      </c>
      <c r="F235" s="80" t="n">
        <f aca="false">0</f>
        <v>0</v>
      </c>
      <c r="G235" s="80" t="n">
        <f aca="false">0</f>
        <v>0</v>
      </c>
      <c r="H235" s="80" t="n">
        <f aca="false">0</f>
        <v>0</v>
      </c>
      <c r="I235" s="80" t="n">
        <f aca="false">0</f>
        <v>0</v>
      </c>
      <c r="J235" s="80" t="n">
        <f aca="false">0</f>
        <v>0</v>
      </c>
      <c r="K235" s="80" t="n">
        <f aca="false">0</f>
        <v>0</v>
      </c>
      <c r="L235" s="80" t="n">
        <f aca="false">0</f>
        <v>0</v>
      </c>
      <c r="M235" s="80" t="n">
        <f aca="false">0</f>
        <v>0</v>
      </c>
      <c r="N235" s="80" t="n">
        <f aca="false">0</f>
        <v>0</v>
      </c>
      <c r="O235" s="80" t="n">
        <f aca="false">0</f>
        <v>0</v>
      </c>
      <c r="P235" s="80" t="n">
        <f aca="false">0</f>
        <v>0</v>
      </c>
      <c r="Q235" s="80" t="n">
        <f aca="false">0</f>
        <v>0</v>
      </c>
      <c r="R235" s="80" t="n">
        <f aca="false">0</f>
        <v>0</v>
      </c>
      <c r="S235" s="69" t="n">
        <f aca="false">IF(S$5="A",0,New_Business!S13)</f>
        <v>4.34108</v>
      </c>
      <c r="T235" s="80" t="n">
        <f aca="false">IF(T$5="A",0,S235)</f>
        <v>4.34108</v>
      </c>
      <c r="U235" s="80" t="n">
        <f aca="false">IF(U$5="A",0,T235)</f>
        <v>4.34108</v>
      </c>
      <c r="V235" s="80" t="n">
        <f aca="false">IF(V$5="A",0,U235)</f>
        <v>4.34108</v>
      </c>
      <c r="W235" s="80" t="n">
        <f aca="false">IF(W$5="A",0,V235)</f>
        <v>4.34108</v>
      </c>
      <c r="X235" s="80" t="n">
        <f aca="false">IF(X$5="A",0,W235)</f>
        <v>4.34108</v>
      </c>
      <c r="Y235" s="80" t="n">
        <f aca="false">IF(Y$5="A",0,X235)</f>
        <v>4.34108</v>
      </c>
      <c r="Z235" s="80" t="n">
        <f aca="false">IF(Z$5="A",0,Y235)</f>
        <v>4.34108</v>
      </c>
      <c r="AA235" s="80" t="n">
        <f aca="false">IF(AA$5="A",0,Z235)</f>
        <v>4.34108</v>
      </c>
      <c r="AB235" s="80" t="n">
        <f aca="false">IF(AB$5="A",0,AA235)</f>
        <v>4.34108</v>
      </c>
    </row>
    <row r="236" customFormat="false" ht="15" hidden="false" customHeight="false" outlineLevel="0" collapsed="false">
      <c r="A236" s="28" t="s">
        <v>912</v>
      </c>
      <c r="B236" s="63" t="s">
        <v>937</v>
      </c>
      <c r="C236" s="68" t="n">
        <f aca="false">P236</f>
        <v>0</v>
      </c>
      <c r="D236" s="68" t="n">
        <f aca="false">AB236</f>
        <v>4.13444</v>
      </c>
      <c r="E236" s="80" t="n">
        <f aca="false">0</f>
        <v>0</v>
      </c>
      <c r="F236" s="80" t="n">
        <f aca="false">0</f>
        <v>0</v>
      </c>
      <c r="G236" s="80" t="n">
        <f aca="false">0</f>
        <v>0</v>
      </c>
      <c r="H236" s="80" t="n">
        <f aca="false">0</f>
        <v>0</v>
      </c>
      <c r="I236" s="80" t="n">
        <f aca="false">0</f>
        <v>0</v>
      </c>
      <c r="J236" s="80" t="n">
        <f aca="false">0</f>
        <v>0</v>
      </c>
      <c r="K236" s="80" t="n">
        <f aca="false">0</f>
        <v>0</v>
      </c>
      <c r="L236" s="80" t="n">
        <f aca="false">0</f>
        <v>0</v>
      </c>
      <c r="M236" s="80" t="n">
        <f aca="false">0</f>
        <v>0</v>
      </c>
      <c r="N236" s="80" t="n">
        <f aca="false">0</f>
        <v>0</v>
      </c>
      <c r="O236" s="80" t="n">
        <f aca="false">0</f>
        <v>0</v>
      </c>
      <c r="P236" s="80" t="n">
        <f aca="false">0</f>
        <v>0</v>
      </c>
      <c r="Q236" s="80" t="n">
        <f aca="false">0</f>
        <v>0</v>
      </c>
      <c r="R236" s="80" t="n">
        <f aca="false">0</f>
        <v>0</v>
      </c>
      <c r="S236" s="80" t="n">
        <f aca="false">0</f>
        <v>0</v>
      </c>
      <c r="T236" s="69" t="n">
        <f aca="false">IF(T$5="A",0,New_Business!T13)</f>
        <v>4.13444</v>
      </c>
      <c r="U236" s="80" t="n">
        <f aca="false">IF(U$5="A",0,T236)</f>
        <v>4.13444</v>
      </c>
      <c r="V236" s="80" t="n">
        <f aca="false">IF(V$5="A",0,U236)</f>
        <v>4.13444</v>
      </c>
      <c r="W236" s="80" t="n">
        <f aca="false">IF(W$5="A",0,V236)</f>
        <v>4.13444</v>
      </c>
      <c r="X236" s="80" t="n">
        <f aca="false">IF(X$5="A",0,W236)</f>
        <v>4.13444</v>
      </c>
      <c r="Y236" s="80" t="n">
        <f aca="false">IF(Y$5="A",0,X236)</f>
        <v>4.13444</v>
      </c>
      <c r="Z236" s="80" t="n">
        <f aca="false">IF(Z$5="A",0,Y236)</f>
        <v>4.13444</v>
      </c>
      <c r="AA236" s="80" t="n">
        <f aca="false">IF(AA$5="A",0,Z236)</f>
        <v>4.13444</v>
      </c>
      <c r="AB236" s="80" t="n">
        <f aca="false">IF(AB$5="A",0,AA236)</f>
        <v>4.13444</v>
      </c>
    </row>
    <row r="237" customFormat="false" ht="15" hidden="false" customHeight="false" outlineLevel="0" collapsed="false">
      <c r="A237" s="28" t="s">
        <v>913</v>
      </c>
      <c r="B237" s="63" t="s">
        <v>937</v>
      </c>
      <c r="C237" s="68" t="n">
        <f aca="false">P237</f>
        <v>0</v>
      </c>
      <c r="D237" s="68" t="n">
        <f aca="false">AB237</f>
        <v>4.13444</v>
      </c>
      <c r="E237" s="80" t="n">
        <f aca="false">0</f>
        <v>0</v>
      </c>
      <c r="F237" s="80" t="n">
        <f aca="false">0</f>
        <v>0</v>
      </c>
      <c r="G237" s="80" t="n">
        <f aca="false">0</f>
        <v>0</v>
      </c>
      <c r="H237" s="80" t="n">
        <f aca="false">0</f>
        <v>0</v>
      </c>
      <c r="I237" s="80" t="n">
        <f aca="false">0</f>
        <v>0</v>
      </c>
      <c r="J237" s="80" t="n">
        <f aca="false">0</f>
        <v>0</v>
      </c>
      <c r="K237" s="80" t="n">
        <f aca="false">0</f>
        <v>0</v>
      </c>
      <c r="L237" s="80" t="n">
        <f aca="false">0</f>
        <v>0</v>
      </c>
      <c r="M237" s="80" t="n">
        <f aca="false">0</f>
        <v>0</v>
      </c>
      <c r="N237" s="80" t="n">
        <f aca="false">0</f>
        <v>0</v>
      </c>
      <c r="O237" s="80" t="n">
        <f aca="false">0</f>
        <v>0</v>
      </c>
      <c r="P237" s="80" t="n">
        <f aca="false">0</f>
        <v>0</v>
      </c>
      <c r="Q237" s="80" t="n">
        <f aca="false">0</f>
        <v>0</v>
      </c>
      <c r="R237" s="80" t="n">
        <f aca="false">0</f>
        <v>0</v>
      </c>
      <c r="S237" s="80" t="n">
        <f aca="false">0</f>
        <v>0</v>
      </c>
      <c r="T237" s="80" t="n">
        <f aca="false">0</f>
        <v>0</v>
      </c>
      <c r="U237" s="69" t="n">
        <f aca="false">IF(U$5="A",0,New_Business!U13)</f>
        <v>4.13444</v>
      </c>
      <c r="V237" s="80" t="n">
        <f aca="false">IF(V$5="A",0,U237)</f>
        <v>4.13444</v>
      </c>
      <c r="W237" s="80" t="n">
        <f aca="false">IF(W$5="A",0,V237)</f>
        <v>4.13444</v>
      </c>
      <c r="X237" s="80" t="n">
        <f aca="false">IF(X$5="A",0,W237)</f>
        <v>4.13444</v>
      </c>
      <c r="Y237" s="80" t="n">
        <f aca="false">IF(Y$5="A",0,X237)</f>
        <v>4.13444</v>
      </c>
      <c r="Z237" s="80" t="n">
        <f aca="false">IF(Z$5="A",0,Y237)</f>
        <v>4.13444</v>
      </c>
      <c r="AA237" s="80" t="n">
        <f aca="false">IF(AA$5="A",0,Z237)</f>
        <v>4.13444</v>
      </c>
      <c r="AB237" s="80" t="n">
        <f aca="false">IF(AB$5="A",0,AA237)</f>
        <v>4.13444</v>
      </c>
    </row>
    <row r="238" customFormat="false" ht="15" hidden="false" customHeight="false" outlineLevel="0" collapsed="false">
      <c r="A238" s="28" t="s">
        <v>914</v>
      </c>
      <c r="B238" s="63" t="s">
        <v>937</v>
      </c>
      <c r="C238" s="68" t="n">
        <f aca="false">P238</f>
        <v>0</v>
      </c>
      <c r="D238" s="68" t="n">
        <f aca="false">AB238</f>
        <v>3.9278</v>
      </c>
      <c r="E238" s="80" t="n">
        <f aca="false">0</f>
        <v>0</v>
      </c>
      <c r="F238" s="80" t="n">
        <f aca="false">0</f>
        <v>0</v>
      </c>
      <c r="G238" s="80" t="n">
        <f aca="false">0</f>
        <v>0</v>
      </c>
      <c r="H238" s="80" t="n">
        <f aca="false">0</f>
        <v>0</v>
      </c>
      <c r="I238" s="80" t="n">
        <f aca="false">0</f>
        <v>0</v>
      </c>
      <c r="J238" s="80" t="n">
        <f aca="false">0</f>
        <v>0</v>
      </c>
      <c r="K238" s="80" t="n">
        <f aca="false">0</f>
        <v>0</v>
      </c>
      <c r="L238" s="80" t="n">
        <f aca="false">0</f>
        <v>0</v>
      </c>
      <c r="M238" s="80" t="n">
        <f aca="false">0</f>
        <v>0</v>
      </c>
      <c r="N238" s="80" t="n">
        <f aca="false">0</f>
        <v>0</v>
      </c>
      <c r="O238" s="80" t="n">
        <f aca="false">0</f>
        <v>0</v>
      </c>
      <c r="P238" s="80" t="n">
        <f aca="false">0</f>
        <v>0</v>
      </c>
      <c r="Q238" s="80" t="n">
        <f aca="false">0</f>
        <v>0</v>
      </c>
      <c r="R238" s="80" t="n">
        <f aca="false">0</f>
        <v>0</v>
      </c>
      <c r="S238" s="80" t="n">
        <f aca="false">0</f>
        <v>0</v>
      </c>
      <c r="T238" s="80" t="n">
        <f aca="false">0</f>
        <v>0</v>
      </c>
      <c r="U238" s="80" t="n">
        <f aca="false">0</f>
        <v>0</v>
      </c>
      <c r="V238" s="69" t="n">
        <f aca="false">IF(V$5="A",0,New_Business!V13)</f>
        <v>3.9278</v>
      </c>
      <c r="W238" s="80" t="n">
        <f aca="false">IF(W$5="A",0,V238)</f>
        <v>3.9278</v>
      </c>
      <c r="X238" s="80" t="n">
        <f aca="false">IF(X$5="A",0,W238)</f>
        <v>3.9278</v>
      </c>
      <c r="Y238" s="80" t="n">
        <f aca="false">IF(Y$5="A",0,X238)</f>
        <v>3.9278</v>
      </c>
      <c r="Z238" s="80" t="n">
        <f aca="false">IF(Z$5="A",0,Y238)</f>
        <v>3.9278</v>
      </c>
      <c r="AA238" s="80" t="n">
        <f aca="false">IF(AA$5="A",0,Z238)</f>
        <v>3.9278</v>
      </c>
      <c r="AB238" s="80" t="n">
        <f aca="false">IF(AB$5="A",0,AA238)</f>
        <v>3.9278</v>
      </c>
    </row>
    <row r="239" customFormat="false" ht="15" hidden="false" customHeight="false" outlineLevel="0" collapsed="false">
      <c r="A239" s="28" t="s">
        <v>915</v>
      </c>
      <c r="B239" s="63" t="s">
        <v>937</v>
      </c>
      <c r="C239" s="68" t="n">
        <f aca="false">P239</f>
        <v>0</v>
      </c>
      <c r="D239" s="68" t="n">
        <f aca="false">AB239</f>
        <v>3.51411</v>
      </c>
      <c r="E239" s="80" t="n">
        <f aca="false">0</f>
        <v>0</v>
      </c>
      <c r="F239" s="80" t="n">
        <f aca="false">0</f>
        <v>0</v>
      </c>
      <c r="G239" s="80" t="n">
        <f aca="false">0</f>
        <v>0</v>
      </c>
      <c r="H239" s="80" t="n">
        <f aca="false">0</f>
        <v>0</v>
      </c>
      <c r="I239" s="80" t="n">
        <f aca="false">0</f>
        <v>0</v>
      </c>
      <c r="J239" s="80" t="n">
        <f aca="false">0</f>
        <v>0</v>
      </c>
      <c r="K239" s="80" t="n">
        <f aca="false">0</f>
        <v>0</v>
      </c>
      <c r="L239" s="80" t="n">
        <f aca="false">0</f>
        <v>0</v>
      </c>
      <c r="M239" s="80" t="n">
        <f aca="false">0</f>
        <v>0</v>
      </c>
      <c r="N239" s="80" t="n">
        <f aca="false">0</f>
        <v>0</v>
      </c>
      <c r="O239" s="80" t="n">
        <f aca="false">0</f>
        <v>0</v>
      </c>
      <c r="P239" s="80" t="n">
        <f aca="false">0</f>
        <v>0</v>
      </c>
      <c r="Q239" s="80" t="n">
        <f aca="false">0</f>
        <v>0</v>
      </c>
      <c r="R239" s="80" t="n">
        <f aca="false">0</f>
        <v>0</v>
      </c>
      <c r="S239" s="80" t="n">
        <f aca="false">0</f>
        <v>0</v>
      </c>
      <c r="T239" s="80" t="n">
        <f aca="false">0</f>
        <v>0</v>
      </c>
      <c r="U239" s="80" t="n">
        <f aca="false">0</f>
        <v>0</v>
      </c>
      <c r="V239" s="80" t="n">
        <f aca="false">0</f>
        <v>0</v>
      </c>
      <c r="W239" s="69" t="n">
        <f aca="false">IF(W$5="A",0,New_Business!W13)</f>
        <v>3.51411</v>
      </c>
      <c r="X239" s="80" t="n">
        <f aca="false">IF(X$5="A",0,W239)</f>
        <v>3.51411</v>
      </c>
      <c r="Y239" s="80" t="n">
        <f aca="false">IF(Y$5="A",0,X239)</f>
        <v>3.51411</v>
      </c>
      <c r="Z239" s="80" t="n">
        <f aca="false">IF(Z$5="A",0,Y239)</f>
        <v>3.51411</v>
      </c>
      <c r="AA239" s="80" t="n">
        <f aca="false">IF(AA$5="A",0,Z239)</f>
        <v>3.51411</v>
      </c>
      <c r="AB239" s="80" t="n">
        <f aca="false">IF(AB$5="A",0,AA239)</f>
        <v>3.51411</v>
      </c>
    </row>
    <row r="240" customFormat="false" ht="15" hidden="false" customHeight="false" outlineLevel="0" collapsed="false">
      <c r="A240" s="28" t="s">
        <v>916</v>
      </c>
      <c r="B240" s="63" t="s">
        <v>937</v>
      </c>
      <c r="C240" s="68" t="n">
        <f aca="false">P240</f>
        <v>0</v>
      </c>
      <c r="D240" s="68" t="n">
        <f aca="false">AB240</f>
        <v>2.81137</v>
      </c>
      <c r="E240" s="80" t="n">
        <f aca="false">0</f>
        <v>0</v>
      </c>
      <c r="F240" s="80" t="n">
        <f aca="false">0</f>
        <v>0</v>
      </c>
      <c r="G240" s="80" t="n">
        <f aca="false">0</f>
        <v>0</v>
      </c>
      <c r="H240" s="80" t="n">
        <f aca="false">0</f>
        <v>0</v>
      </c>
      <c r="I240" s="80" t="n">
        <f aca="false">0</f>
        <v>0</v>
      </c>
      <c r="J240" s="80" t="n">
        <f aca="false">0</f>
        <v>0</v>
      </c>
      <c r="K240" s="80" t="n">
        <f aca="false">0</f>
        <v>0</v>
      </c>
      <c r="L240" s="80" t="n">
        <f aca="false">0</f>
        <v>0</v>
      </c>
      <c r="M240" s="80" t="n">
        <f aca="false">0</f>
        <v>0</v>
      </c>
      <c r="N240" s="80" t="n">
        <f aca="false">0</f>
        <v>0</v>
      </c>
      <c r="O240" s="80" t="n">
        <f aca="false">0</f>
        <v>0</v>
      </c>
      <c r="P240" s="80" t="n">
        <f aca="false">0</f>
        <v>0</v>
      </c>
      <c r="Q240" s="80" t="n">
        <f aca="false">0</f>
        <v>0</v>
      </c>
      <c r="R240" s="80" t="n">
        <f aca="false">0</f>
        <v>0</v>
      </c>
      <c r="S240" s="80" t="n">
        <f aca="false">0</f>
        <v>0</v>
      </c>
      <c r="T240" s="80" t="n">
        <f aca="false">0</f>
        <v>0</v>
      </c>
      <c r="U240" s="80" t="n">
        <f aca="false">0</f>
        <v>0</v>
      </c>
      <c r="V240" s="80" t="n">
        <f aca="false">0</f>
        <v>0</v>
      </c>
      <c r="W240" s="80" t="n">
        <f aca="false">0</f>
        <v>0</v>
      </c>
      <c r="X240" s="69" t="n">
        <f aca="false">IF(X$5="A",0,New_Business!X13)</f>
        <v>2.81137</v>
      </c>
      <c r="Y240" s="80" t="n">
        <f aca="false">IF(Y$5="A",0,X240)</f>
        <v>2.81137</v>
      </c>
      <c r="Z240" s="80" t="n">
        <f aca="false">IF(Z$5="A",0,Y240)</f>
        <v>2.81137</v>
      </c>
      <c r="AA240" s="80" t="n">
        <f aca="false">IF(AA$5="A",0,Z240)</f>
        <v>2.81137</v>
      </c>
      <c r="AB240" s="80" t="n">
        <f aca="false">IF(AB$5="A",0,AA240)</f>
        <v>2.81137</v>
      </c>
    </row>
    <row r="241" customFormat="false" ht="15" hidden="false" customHeight="false" outlineLevel="0" collapsed="false">
      <c r="A241" s="28" t="s">
        <v>917</v>
      </c>
      <c r="B241" s="63" t="s">
        <v>937</v>
      </c>
      <c r="C241" s="68" t="n">
        <f aca="false">P241</f>
        <v>0</v>
      </c>
      <c r="D241" s="68" t="n">
        <f aca="false">AB241</f>
        <v>4.46531</v>
      </c>
      <c r="E241" s="80" t="n">
        <f aca="false">0</f>
        <v>0</v>
      </c>
      <c r="F241" s="80" t="n">
        <f aca="false">0</f>
        <v>0</v>
      </c>
      <c r="G241" s="80" t="n">
        <f aca="false">0</f>
        <v>0</v>
      </c>
      <c r="H241" s="80" t="n">
        <f aca="false">0</f>
        <v>0</v>
      </c>
      <c r="I241" s="80" t="n">
        <f aca="false">0</f>
        <v>0</v>
      </c>
      <c r="J241" s="80" t="n">
        <f aca="false">0</f>
        <v>0</v>
      </c>
      <c r="K241" s="80" t="n">
        <f aca="false">0</f>
        <v>0</v>
      </c>
      <c r="L241" s="80" t="n">
        <f aca="false">0</f>
        <v>0</v>
      </c>
      <c r="M241" s="80" t="n">
        <f aca="false">0</f>
        <v>0</v>
      </c>
      <c r="N241" s="80" t="n">
        <f aca="false">0</f>
        <v>0</v>
      </c>
      <c r="O241" s="80" t="n">
        <f aca="false">0</f>
        <v>0</v>
      </c>
      <c r="P241" s="80" t="n">
        <f aca="false">0</f>
        <v>0</v>
      </c>
      <c r="Q241" s="80" t="n">
        <f aca="false">0</f>
        <v>0</v>
      </c>
      <c r="R241" s="80" t="n">
        <f aca="false">0</f>
        <v>0</v>
      </c>
      <c r="S241" s="80" t="n">
        <f aca="false">0</f>
        <v>0</v>
      </c>
      <c r="T241" s="80" t="n">
        <f aca="false">0</f>
        <v>0</v>
      </c>
      <c r="U241" s="80" t="n">
        <f aca="false">0</f>
        <v>0</v>
      </c>
      <c r="V241" s="80" t="n">
        <f aca="false">0</f>
        <v>0</v>
      </c>
      <c r="W241" s="80" t="n">
        <f aca="false">0</f>
        <v>0</v>
      </c>
      <c r="X241" s="80" t="n">
        <f aca="false">0</f>
        <v>0</v>
      </c>
      <c r="Y241" s="69" t="n">
        <f aca="false">IF(Y$5="A",0,New_Business!Y13)</f>
        <v>4.46531</v>
      </c>
      <c r="Z241" s="80" t="n">
        <f aca="false">IF(Z$5="A",0,Y241)</f>
        <v>4.46531</v>
      </c>
      <c r="AA241" s="80" t="n">
        <f aca="false">IF(AA$5="A",0,Z241)</f>
        <v>4.46531</v>
      </c>
      <c r="AB241" s="80" t="n">
        <f aca="false">IF(AB$5="A",0,AA241)</f>
        <v>4.46531</v>
      </c>
    </row>
    <row r="242" customFormat="false" ht="15" hidden="false" customHeight="false" outlineLevel="0" collapsed="false">
      <c r="A242" s="28" t="s">
        <v>918</v>
      </c>
      <c r="B242" s="63" t="s">
        <v>937</v>
      </c>
      <c r="C242" s="68" t="n">
        <f aca="false">P242</f>
        <v>0</v>
      </c>
      <c r="D242" s="68" t="n">
        <f aca="false">AB242</f>
        <v>4.63054</v>
      </c>
      <c r="E242" s="80" t="n">
        <f aca="false">0</f>
        <v>0</v>
      </c>
      <c r="F242" s="80" t="n">
        <f aca="false">0</f>
        <v>0</v>
      </c>
      <c r="G242" s="80" t="n">
        <f aca="false">0</f>
        <v>0</v>
      </c>
      <c r="H242" s="80" t="n">
        <f aca="false">0</f>
        <v>0</v>
      </c>
      <c r="I242" s="80" t="n">
        <f aca="false">0</f>
        <v>0</v>
      </c>
      <c r="J242" s="80" t="n">
        <f aca="false">0</f>
        <v>0</v>
      </c>
      <c r="K242" s="80" t="n">
        <f aca="false">0</f>
        <v>0</v>
      </c>
      <c r="L242" s="80" t="n">
        <f aca="false">0</f>
        <v>0</v>
      </c>
      <c r="M242" s="80" t="n">
        <f aca="false">0</f>
        <v>0</v>
      </c>
      <c r="N242" s="80" t="n">
        <f aca="false">0</f>
        <v>0</v>
      </c>
      <c r="O242" s="80" t="n">
        <f aca="false">0</f>
        <v>0</v>
      </c>
      <c r="P242" s="80" t="n">
        <f aca="false">0</f>
        <v>0</v>
      </c>
      <c r="Q242" s="80" t="n">
        <f aca="false">0</f>
        <v>0</v>
      </c>
      <c r="R242" s="80" t="n">
        <f aca="false">0</f>
        <v>0</v>
      </c>
      <c r="S242" s="80" t="n">
        <f aca="false">0</f>
        <v>0</v>
      </c>
      <c r="T242" s="80" t="n">
        <f aca="false">0</f>
        <v>0</v>
      </c>
      <c r="U242" s="80" t="n">
        <f aca="false">0</f>
        <v>0</v>
      </c>
      <c r="V242" s="80" t="n">
        <f aca="false">0</f>
        <v>0</v>
      </c>
      <c r="W242" s="80" t="n">
        <f aca="false">0</f>
        <v>0</v>
      </c>
      <c r="X242" s="80" t="n">
        <f aca="false">0</f>
        <v>0</v>
      </c>
      <c r="Y242" s="80" t="n">
        <f aca="false">0</f>
        <v>0</v>
      </c>
      <c r="Z242" s="69" t="n">
        <f aca="false">IF(Z$5="A",0,New_Business!Z13)</f>
        <v>4.63054</v>
      </c>
      <c r="AA242" s="80" t="n">
        <f aca="false">IF(AA$5="A",0,Z242)</f>
        <v>4.63054</v>
      </c>
      <c r="AB242" s="80" t="n">
        <f aca="false">IF(AB$5="A",0,AA242)</f>
        <v>4.63054</v>
      </c>
    </row>
    <row r="243" customFormat="false" ht="15" hidden="false" customHeight="false" outlineLevel="0" collapsed="false">
      <c r="A243" s="28" t="s">
        <v>919</v>
      </c>
      <c r="B243" s="63" t="s">
        <v>937</v>
      </c>
      <c r="C243" s="68" t="n">
        <f aca="false">P243</f>
        <v>0</v>
      </c>
      <c r="D243" s="68" t="n">
        <f aca="false">AB243</f>
        <v>4.21726</v>
      </c>
      <c r="E243" s="80" t="n">
        <f aca="false">0</f>
        <v>0</v>
      </c>
      <c r="F243" s="80" t="n">
        <f aca="false">0</f>
        <v>0</v>
      </c>
      <c r="G243" s="80" t="n">
        <f aca="false">0</f>
        <v>0</v>
      </c>
      <c r="H243" s="80" t="n">
        <f aca="false">0</f>
        <v>0</v>
      </c>
      <c r="I243" s="80" t="n">
        <f aca="false">0</f>
        <v>0</v>
      </c>
      <c r="J243" s="80" t="n">
        <f aca="false">0</f>
        <v>0</v>
      </c>
      <c r="K243" s="80" t="n">
        <f aca="false">0</f>
        <v>0</v>
      </c>
      <c r="L243" s="80" t="n">
        <f aca="false">0</f>
        <v>0</v>
      </c>
      <c r="M243" s="80" t="n">
        <f aca="false">0</f>
        <v>0</v>
      </c>
      <c r="N243" s="80" t="n">
        <f aca="false">0</f>
        <v>0</v>
      </c>
      <c r="O243" s="80" t="n">
        <f aca="false">0</f>
        <v>0</v>
      </c>
      <c r="P243" s="80" t="n">
        <f aca="false">0</f>
        <v>0</v>
      </c>
      <c r="Q243" s="80" t="n">
        <f aca="false">0</f>
        <v>0</v>
      </c>
      <c r="R243" s="80" t="n">
        <f aca="false">0</f>
        <v>0</v>
      </c>
      <c r="S243" s="80" t="n">
        <f aca="false">0</f>
        <v>0</v>
      </c>
      <c r="T243" s="80" t="n">
        <f aca="false">0</f>
        <v>0</v>
      </c>
      <c r="U243" s="80" t="n">
        <f aca="false">0</f>
        <v>0</v>
      </c>
      <c r="V243" s="80" t="n">
        <f aca="false">0</f>
        <v>0</v>
      </c>
      <c r="W243" s="80" t="n">
        <f aca="false">0</f>
        <v>0</v>
      </c>
      <c r="X243" s="80" t="n">
        <f aca="false">0</f>
        <v>0</v>
      </c>
      <c r="Y243" s="80" t="n">
        <f aca="false">0</f>
        <v>0</v>
      </c>
      <c r="Z243" s="80" t="n">
        <f aca="false">0</f>
        <v>0</v>
      </c>
      <c r="AA243" s="69" t="n">
        <f aca="false">IF(AA$5="A",0,New_Business!AA13)</f>
        <v>4.21726</v>
      </c>
      <c r="AB243" s="80" t="n">
        <f aca="false">IF(AB$5="A",0,AA243)</f>
        <v>4.21726</v>
      </c>
    </row>
    <row r="244" customFormat="false" ht="15" hidden="false" customHeight="false" outlineLevel="0" collapsed="false">
      <c r="A244" s="28" t="s">
        <v>920</v>
      </c>
      <c r="B244" s="63" t="s">
        <v>937</v>
      </c>
      <c r="C244" s="68" t="n">
        <f aca="false">P244</f>
        <v>0</v>
      </c>
      <c r="D244" s="68" t="n">
        <f aca="false">AB244</f>
        <v>3.51411</v>
      </c>
      <c r="E244" s="80" t="n">
        <f aca="false">0</f>
        <v>0</v>
      </c>
      <c r="F244" s="80" t="n">
        <f aca="false">0</f>
        <v>0</v>
      </c>
      <c r="G244" s="80" t="n">
        <f aca="false">0</f>
        <v>0</v>
      </c>
      <c r="H244" s="80" t="n">
        <f aca="false">0</f>
        <v>0</v>
      </c>
      <c r="I244" s="80" t="n">
        <f aca="false">0</f>
        <v>0</v>
      </c>
      <c r="J244" s="80" t="n">
        <f aca="false">0</f>
        <v>0</v>
      </c>
      <c r="K244" s="80" t="n">
        <f aca="false">0</f>
        <v>0</v>
      </c>
      <c r="L244" s="80" t="n">
        <f aca="false">0</f>
        <v>0</v>
      </c>
      <c r="M244" s="80" t="n">
        <f aca="false">0</f>
        <v>0</v>
      </c>
      <c r="N244" s="80" t="n">
        <f aca="false">0</f>
        <v>0</v>
      </c>
      <c r="O244" s="80" t="n">
        <f aca="false">0</f>
        <v>0</v>
      </c>
      <c r="P244" s="80" t="n">
        <f aca="false">0</f>
        <v>0</v>
      </c>
      <c r="Q244" s="80" t="n">
        <f aca="false">0</f>
        <v>0</v>
      </c>
      <c r="R244" s="80" t="n">
        <f aca="false">0</f>
        <v>0</v>
      </c>
      <c r="S244" s="80" t="n">
        <f aca="false">0</f>
        <v>0</v>
      </c>
      <c r="T244" s="80" t="n">
        <f aca="false">0</f>
        <v>0</v>
      </c>
      <c r="U244" s="80" t="n">
        <f aca="false">0</f>
        <v>0</v>
      </c>
      <c r="V244" s="80" t="n">
        <f aca="false">0</f>
        <v>0</v>
      </c>
      <c r="W244" s="80" t="n">
        <f aca="false">0</f>
        <v>0</v>
      </c>
      <c r="X244" s="80" t="n">
        <f aca="false">0</f>
        <v>0</v>
      </c>
      <c r="Y244" s="80" t="n">
        <f aca="false">0</f>
        <v>0</v>
      </c>
      <c r="Z244" s="80" t="n">
        <f aca="false">0</f>
        <v>0</v>
      </c>
      <c r="AA244" s="80" t="n">
        <f aca="false">0</f>
        <v>0</v>
      </c>
      <c r="AB244" s="69" t="n">
        <f aca="false">IF(AB$5="A",0,New_Business!AB13)</f>
        <v>3.51411</v>
      </c>
    </row>
    <row r="245" customFormat="false" ht="15" hidden="false" customHeight="false" outlineLevel="0" collapsed="false">
      <c r="A245" s="59" t="s">
        <v>951</v>
      </c>
      <c r="B245" s="60"/>
      <c r="C245" s="82" t="n">
        <f aca="false">P245</f>
        <v>176.98722</v>
      </c>
      <c r="D245" s="82" t="n">
        <f aca="false">AB245</f>
        <v>203.8623204</v>
      </c>
      <c r="E245" s="82" t="n">
        <f aca="false">SUM(E185:E244)</f>
        <v>151</v>
      </c>
      <c r="F245" s="82" t="n">
        <f aca="false">SUM(F185:F244)</f>
        <v>152</v>
      </c>
      <c r="G245" s="82" t="n">
        <f aca="false">SUM(G185:G244)</f>
        <v>155</v>
      </c>
      <c r="H245" s="82" t="n">
        <f aca="false">SUM(H185:H244)</f>
        <v>159</v>
      </c>
      <c r="I245" s="82" t="n">
        <f aca="false">SUM(I185:I244)</f>
        <v>158</v>
      </c>
      <c r="J245" s="82" t="n">
        <f aca="false">SUM(J185:J244)</f>
        <v>161</v>
      </c>
      <c r="K245" s="82" t="n">
        <f aca="false">SUM(K185:K244)</f>
        <v>163</v>
      </c>
      <c r="L245" s="82" t="n">
        <f aca="false">SUM(L185:L244)</f>
        <v>165</v>
      </c>
      <c r="M245" s="82" t="n">
        <f aca="false">SUM(M185:M244)</f>
        <v>168.36531</v>
      </c>
      <c r="N245" s="82" t="n">
        <f aca="false">SUM(N185:N244)</f>
        <v>172.09585</v>
      </c>
      <c r="O245" s="82" t="n">
        <f aca="false">SUM(O185:O244)</f>
        <v>174.71311</v>
      </c>
      <c r="P245" s="82" t="n">
        <f aca="false">SUM(P185:P244)</f>
        <v>176.98722</v>
      </c>
      <c r="Q245" s="82" t="n">
        <f aca="false">SUM(Q185:Q244)</f>
        <v>178.81145</v>
      </c>
      <c r="R245" s="82" t="n">
        <f aca="false">SUM(R185:R244)</f>
        <v>181.85676</v>
      </c>
      <c r="S245" s="82" t="n">
        <f aca="false">SUM(S185:S244)</f>
        <v>184.03784</v>
      </c>
      <c r="T245" s="82" t="n">
        <f aca="false">SUM(T185:T244)</f>
        <v>186.07228</v>
      </c>
      <c r="U245" s="82" t="n">
        <f aca="false">SUM(U185:U244)</f>
        <v>188.56672</v>
      </c>
      <c r="V245" s="82" t="n">
        <f aca="false">SUM(V185:V244)</f>
        <v>190.97452</v>
      </c>
      <c r="W245" s="82" t="n">
        <f aca="false">SUM(W185:W244)</f>
        <v>192.46863</v>
      </c>
      <c r="X245" s="82" t="n">
        <f aca="false">SUM(X185:X244)</f>
        <v>193.78</v>
      </c>
      <c r="Y245" s="82" t="n">
        <f aca="false">SUM(Y185:Y244)</f>
        <v>196.4515542</v>
      </c>
      <c r="Z245" s="82" t="n">
        <f aca="false">SUM(Z185:Z244)</f>
        <v>199.438597</v>
      </c>
      <c r="AA245" s="82" t="n">
        <f aca="false">SUM(AA185:AA244)</f>
        <v>201.8567502</v>
      </c>
      <c r="AB245" s="82" t="n">
        <f aca="false">SUM(AB185:AB244)</f>
        <v>203.8623204</v>
      </c>
    </row>
    <row r="246" customFormat="false" ht="15" hidden="false" customHeight="false" outlineLevel="0" collapsed="false">
      <c r="A246" s="22" t="s">
        <v>952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row>
    <row r="247" customFormat="false" ht="15" hidden="false" customHeight="false" outlineLevel="0" collapsed="false">
      <c r="A247" s="28" t="s">
        <v>731</v>
      </c>
      <c r="B247" s="63"/>
      <c r="E247" s="65" t="n">
        <f aca="false">SUM(History!$E$73:$E$108)</f>
        <v>154799.57</v>
      </c>
      <c r="F247" s="74" t="n">
        <f aca="false">E183</f>
        <v>161537.76</v>
      </c>
      <c r="G247" s="74" t="n">
        <f aca="false">F183</f>
        <v>164221.87</v>
      </c>
      <c r="H247" s="74" t="n">
        <f aca="false">G183</f>
        <v>168175.09</v>
      </c>
      <c r="I247" s="74" t="n">
        <f aca="false">H183</f>
        <v>173607.3</v>
      </c>
      <c r="J247" s="74" t="n">
        <f aca="false">I183</f>
        <v>174737.86</v>
      </c>
      <c r="K247" s="74" t="n">
        <f aca="false">J183</f>
        <v>179786.18</v>
      </c>
      <c r="L247" s="74" t="n">
        <f aca="false">K183</f>
        <v>183863.96</v>
      </c>
      <c r="M247" s="74" t="n">
        <f aca="false">L183</f>
        <v>187368.91</v>
      </c>
      <c r="N247" s="74" t="n">
        <f aca="false">M183</f>
        <v>192436.78119128</v>
      </c>
      <c r="O247" s="74" t="n">
        <f aca="false">N183</f>
        <v>197733.437557769</v>
      </c>
      <c r="P247" s="74" t="n">
        <f aca="false">O183</f>
        <v>202185.41245898</v>
      </c>
      <c r="Q247" s="74" t="n">
        <f aca="false">P183</f>
        <v>206169.015987616</v>
      </c>
      <c r="R247" s="74" t="n">
        <f aca="false">Q183</f>
        <v>210929.915137777</v>
      </c>
      <c r="S247" s="74" t="n">
        <f aca="false">R183</f>
        <v>215919.185320842</v>
      </c>
      <c r="T247" s="74" t="n">
        <f aca="false">S183</f>
        <v>220398.149792098</v>
      </c>
      <c r="U247" s="74" t="n">
        <f aca="false">T183</f>
        <v>224921.647227816</v>
      </c>
      <c r="V247" s="74" t="n">
        <f aca="false">U183</f>
        <v>229684.216038077</v>
      </c>
      <c r="W247" s="74" t="n">
        <f aca="false">V183</f>
        <v>234194.714753691</v>
      </c>
      <c r="X247" s="74" t="n">
        <f aca="false">W183</f>
        <v>238178.354248375</v>
      </c>
      <c r="Y247" s="74" t="n">
        <f aca="false">X183</f>
        <v>241582.221397932</v>
      </c>
      <c r="Z247" s="74" t="n">
        <f aca="false">Y183</f>
        <v>246633.176101812</v>
      </c>
      <c r="AA247" s="74" t="n">
        <f aca="false">Z183</f>
        <v>251903.4488387</v>
      </c>
      <c r="AB247" s="74" t="n">
        <f aca="false">AA183</f>
        <v>256795.226601984</v>
      </c>
    </row>
    <row r="248" customFormat="false" ht="15" hidden="false" customHeight="false" outlineLevel="0" collapsed="false">
      <c r="A248" s="28" t="s">
        <v>732</v>
      </c>
      <c r="B248" s="63" t="s">
        <v>58</v>
      </c>
      <c r="C248" s="64" t="n">
        <f aca="false">SUM(E248:P248)</f>
        <v>56367.6673</v>
      </c>
      <c r="D248" s="64" t="n">
        <f aca="false">SUM(Q248:AB248)</f>
        <v>49851.9</v>
      </c>
      <c r="E248" s="65" t="n">
        <f aca="false">IF(E$5="A",Inputs_Actuals!E197,New_Business!E15)</f>
        <v>8477.35</v>
      </c>
      <c r="F248" s="65" t="n">
        <f aca="false">IF(F$5="A",Inputs_Actuals!F197,New_Business!F15)</f>
        <v>4061.87</v>
      </c>
      <c r="G248" s="65" t="n">
        <f aca="false">IF(G$5="A",Inputs_Actuals!G197,New_Business!G15)</f>
        <v>7032.4</v>
      </c>
      <c r="H248" s="65" t="n">
        <f aca="false">IF(H$5="A",Inputs_Actuals!H197,New_Business!H15)</f>
        <v>4612.09</v>
      </c>
      <c r="I248" s="65" t="n">
        <f aca="false">IF(I$5="A",Inputs_Actuals!I197,New_Business!I15)</f>
        <v>2930.04</v>
      </c>
      <c r="J248" s="65" t="n">
        <f aca="false">IF(J$5="A",Inputs_Actuals!J197,New_Business!J15)</f>
        <v>4143.41</v>
      </c>
      <c r="K248" s="65" t="n">
        <f aca="false">IF(K$5="A",Inputs_Actuals!K197,New_Business!K15)</f>
        <v>4130.81</v>
      </c>
      <c r="L248" s="65" t="n">
        <f aca="false">IF(L$5="A",Inputs_Actuals!L197,New_Business!L15)</f>
        <v>4741.43</v>
      </c>
      <c r="M248" s="65" t="n">
        <f aca="false">IF(M$5="A",Inputs_Actuals!M197,New_Business!M15)</f>
        <v>4309.02415</v>
      </c>
      <c r="N248" s="65" t="n">
        <f aca="false">IF(N$5="A",Inputs_Actuals!N197,New_Business!N15)</f>
        <v>4468.4711</v>
      </c>
      <c r="O248" s="65" t="n">
        <f aca="false">IF(O$5="A",Inputs_Actuals!O197,New_Business!O15)</f>
        <v>4069.6559</v>
      </c>
      <c r="P248" s="65" t="n">
        <f aca="false">IF(P$5="A",Inputs_Actuals!P197,New_Business!P15)</f>
        <v>3391.11615</v>
      </c>
      <c r="Q248" s="65" t="n">
        <f aca="false">IF(Q$5="A",Inputs_Actuals!Q197,New_Business!Q15)</f>
        <v>5111.0660475</v>
      </c>
      <c r="R248" s="65" t="n">
        <f aca="false">IF(R$5="A",Inputs_Actuals!R197,New_Business!R15)</f>
        <v>4524.4753575</v>
      </c>
      <c r="S248" s="65" t="n">
        <f aca="false">IF(S$5="A",Inputs_Actuals!S197,New_Business!S15)</f>
        <v>4398.59931</v>
      </c>
      <c r="T248" s="65" t="n">
        <f aca="false">IF(T$5="A",Inputs_Actuals!T197,New_Business!T15)</f>
        <v>4189.22133</v>
      </c>
      <c r="U248" s="65" t="n">
        <f aca="false">IF(U$5="A",Inputs_Actuals!U197,New_Business!U15)</f>
        <v>4189.22133</v>
      </c>
      <c r="V248" s="65" t="n">
        <f aca="false">IF(V$5="A",Inputs_Actuals!V197,New_Business!V15)</f>
        <v>3979.84335</v>
      </c>
      <c r="W248" s="65" t="n">
        <f aca="false">IF(W$5="A",Inputs_Actuals!W197,New_Business!W15)</f>
        <v>3560.6719575</v>
      </c>
      <c r="X248" s="65" t="n">
        <f aca="false">IF(X$5="A",Inputs_Actuals!X197,New_Business!X15)</f>
        <v>2848.6206525</v>
      </c>
      <c r="Y248" s="65" t="n">
        <f aca="false">IF(Y$5="A",Inputs_Actuals!Y197,New_Business!Y15)</f>
        <v>4524.4753575</v>
      </c>
      <c r="Z248" s="65" t="n">
        <f aca="false">IF(Z$5="A",Inputs_Actuals!Z197,New_Business!Z15)</f>
        <v>4691.894655</v>
      </c>
      <c r="AA248" s="65" t="n">
        <f aca="false">IF(AA$5="A",Inputs_Actuals!AA197,New_Business!AA15)</f>
        <v>4273.138695</v>
      </c>
      <c r="AB248" s="65" t="n">
        <f aca="false">IF(AB$5="A",Inputs_Actuals!AB197,New_Business!AB15)</f>
        <v>3560.6719575</v>
      </c>
    </row>
    <row r="249" customFormat="false" ht="15" hidden="false" customHeight="false" outlineLevel="0" collapsed="false">
      <c r="A249" s="28" t="s">
        <v>953</v>
      </c>
      <c r="B249" s="63"/>
      <c r="C249" s="64" t="n">
        <f aca="false">SUM(E249:P249)</f>
        <v>-25628.9752335856</v>
      </c>
      <c r="D249" s="64" t="n">
        <f aca="false">SUM(Q249:AB249)</f>
        <v>-23387.726565722</v>
      </c>
      <c r="E249" s="65" t="n">
        <f aca="false">-Inputs_Actuals!E201</f>
        <v>-3670.34</v>
      </c>
      <c r="F249" s="65" t="n">
        <f aca="false">IF(F$5="A",-Inputs_Actuals!F201,-(Assumptions!$C$122*Assumptions!$F$170*E148+Assumptions!$C$123*Assumptions!$F$170*(E136+E124)))</f>
        <v>-2838.26</v>
      </c>
      <c r="G249" s="65" t="n">
        <f aca="false">IF(G$5="A",-Inputs_Actuals!G201,-(Assumptions!$C$122*Assumptions!$F$170*F149+Assumptions!$C$123*Assumptions!$F$170*(F137+F125)))</f>
        <v>-4448.39</v>
      </c>
      <c r="H249" s="65" t="n">
        <f aca="false">IF(H$5="A",-Inputs_Actuals!H201,-(Assumptions!$C$122*Assumptions!$F$170*G150+Assumptions!$C$123*Assumptions!$F$170*(G138+G126)))</f>
        <v>-924.67</v>
      </c>
      <c r="I249" s="65" t="n">
        <f aca="false">IF(I$5="A",-Inputs_Actuals!I201,-(Assumptions!$C$122*Assumptions!$F$170*H151+Assumptions!$C$123*Assumptions!$F$170*(H139+H127)))</f>
        <v>-3484.7</v>
      </c>
      <c r="J249" s="65" t="n">
        <f aca="false">IF(J$5="A",-Inputs_Actuals!J201,-(Assumptions!$C$122*Assumptions!$F$170*I152+Assumptions!$C$123*Assumptions!$F$170*(I140+I128)))</f>
        <v>-1012.71</v>
      </c>
      <c r="K249" s="65" t="n">
        <f aca="false">IF(K$5="A",-Inputs_Actuals!K201,-(Assumptions!$C$122*Assumptions!$F$170*J153+Assumptions!$C$123*Assumptions!$F$170*(J141+J129)))</f>
        <v>-1896.73</v>
      </c>
      <c r="L249" s="65" t="n">
        <f aca="false">IF(L$5="A",-Inputs_Actuals!L201,-(Assumptions!$C$122*Assumptions!$F$170*K154+Assumptions!$C$123*Assumptions!$F$170*(K142+K130)))</f>
        <v>-2700.49</v>
      </c>
      <c r="M249" s="65" t="n">
        <f aca="false">IF(M$5="A",-Inputs_Actuals!M201,-(Assumptions!$C$122*Assumptions!$F$170*L155+Assumptions!$C$123*Assumptions!$F$170*(L143+L131)))</f>
        <v>-1096.9416</v>
      </c>
      <c r="N249" s="65" t="n">
        <f aca="false">IF(N$5="A",-Inputs_Actuals!N201,-(Assumptions!$C$122*Assumptions!$F$170*M156+Assumptions!$C$123*Assumptions!$F$170*(M144+M132)))</f>
        <v>-929.5230123</v>
      </c>
      <c r="O249" s="65" t="n">
        <f aca="false">IF(O$5="A",-Inputs_Actuals!O201,-(Assumptions!$C$122*Assumptions!$F$170*N157+Assumptions!$C$123*Assumptions!$F$170*(N145+N133)))</f>
        <v>-1451.15830792058</v>
      </c>
      <c r="P249" s="65" t="n">
        <f aca="false">IF(P$5="A",-Inputs_Actuals!P201,-(Assumptions!$C$122*Assumptions!$F$170*O158+Assumptions!$C$123*Assumptions!$F$170*(O146+O134)))</f>
        <v>-1175.06231336503</v>
      </c>
      <c r="Q249" s="65" t="n">
        <f aca="false">IF(Q$5="A",-Inputs_Actuals!Q201,-(Assumptions!$C$122*Assumptions!$F$170*P159+Assumptions!$C$123*Assumptions!$F$170*(P147+P135+P123)))</f>
        <v>-3346.78321906429</v>
      </c>
      <c r="R249" s="65" t="n">
        <f aca="false">IF(R$5="A",-Inputs_Actuals!R201,-(Assumptions!$C$122*Assumptions!$F$170*Q160+Assumptions!$C$123*Assumptions!$F$170*(Q148+Q136+Q124)))</f>
        <v>-1512.61308381418</v>
      </c>
      <c r="S249" s="65" t="n">
        <f aca="false">IF(S$5="A",-Inputs_Actuals!S201,-(Assumptions!$C$122*Assumptions!$F$170*R161+Assumptions!$C$123*Assumptions!$F$170*(R149+R137+R125)))</f>
        <v>-2267.55723112956</v>
      </c>
      <c r="T249" s="65" t="n">
        <f aca="false">IF(T$5="A",-Inputs_Actuals!T201,-(Assumptions!$C$122*Assumptions!$F$170*S162+Assumptions!$C$123*Assumptions!$F$170*(S150+S138+S126)))</f>
        <v>-2100.11020074497</v>
      </c>
      <c r="U249" s="65" t="n">
        <f aca="false">IF(U$5="A",-Inputs_Actuals!U201,-(Assumptions!$C$122*Assumptions!$F$170*T163+Assumptions!$C$123*Assumptions!$F$170*(T151+T139+T127)))</f>
        <v>-1756.24448719486</v>
      </c>
      <c r="V249" s="65" t="n">
        <f aca="false">IF(V$5="A",-Inputs_Actuals!V201,-(Assumptions!$C$122*Assumptions!$F$170*U164+Assumptions!$C$123*Assumptions!$F$170*(U152+U140+U128)))</f>
        <v>-1650.93679784413</v>
      </c>
      <c r="W249" s="65" t="n">
        <f aca="false">IF(W$5="A",-Inputs_Actuals!W201,-(Assumptions!$C$122*Assumptions!$F$170*V165+Assumptions!$C$123*Assumptions!$F$170*(V153+V141+V129)))</f>
        <v>-2199.11880674236</v>
      </c>
      <c r="X249" s="65" t="n">
        <f aca="false">IF(X$5="A",-Inputs_Actuals!X201,-(Assumptions!$C$122*Assumptions!$F$170*W166+Assumptions!$C$123*Assumptions!$F$170*(W154+W142+W130)))</f>
        <v>-1559.66545660427</v>
      </c>
      <c r="Y249" s="65" t="n">
        <f aca="false">IF(Y$5="A",-Inputs_Actuals!Y201,-(Assumptions!$C$122*Assumptions!$F$170*X167+Assumptions!$C$123*Assumptions!$F$170*(X155+X143+X131)))</f>
        <v>-1887.07383092931</v>
      </c>
      <c r="Z249" s="65" t="n">
        <f aca="false">IF(Z$5="A",-Inputs_Actuals!Z201,-(Assumptions!$C$122*Assumptions!$F$170*Y168+Assumptions!$C$123*Assumptions!$F$170*(Y156+Y144+Y132)))</f>
        <v>-1739.66593156542</v>
      </c>
      <c r="AA249" s="65" t="n">
        <f aca="false">IF(AA$5="A",-Inputs_Actuals!AA201,-(Assumptions!$C$122*Assumptions!$F$170*Z169+Assumptions!$C$123*Assumptions!$F$170*(Z157+Z145+Z133)))</f>
        <v>-1819.27429282849</v>
      </c>
      <c r="AB249" s="65" t="n">
        <f aca="false">IF(AB$5="A",-Inputs_Actuals!AB201,-(Assumptions!$C$122*Assumptions!$F$170*AA170+Assumptions!$C$123*Assumptions!$F$170*(AA158+AA146+AA134)))</f>
        <v>-1548.6832272602</v>
      </c>
    </row>
    <row r="250" customFormat="false" ht="15" hidden="false" customHeight="false" outlineLevel="0" collapsed="false">
      <c r="A250" s="28" t="s">
        <v>954</v>
      </c>
      <c r="B250" s="63"/>
      <c r="C250" s="64" t="n">
        <f aca="false">SUM(E250:P250)</f>
        <v>17424.8035077648</v>
      </c>
      <c r="D250" s="64" t="n">
        <f aca="false">SUM(Q250:AB250)</f>
        <v>23283.5000621778</v>
      </c>
      <c r="E250" s="65" t="n">
        <f aca="false">Inputs_Actuals!E198</f>
        <v>1685</v>
      </c>
      <c r="F250" s="65" t="n">
        <f aca="false">IF(F$5="A",Inputs_Actuals!F198,Assumptions!$F$171*(Assumptions!$C$128*(1-Assumptions!$C$122*Assumptions!$F$170)*(1-Assumptions!$C$126*Assumptions!$F$170)*(1+Assumptions!F$199)*E148+Assumptions!$C$129*(1-Assumptions!$C$123*Assumptions!$F$170)*(1-Assumptions!$C$127*Assumptions!$F$170)*(1+Assumptions!F$199)*(E136+E124))+Assumptions!$C$130*Assumptions!$F$171*(E183-E148-(E136+E124)))</f>
        <v>1249.45</v>
      </c>
      <c r="G250" s="65" t="n">
        <f aca="false">IF(G$5="A",Inputs_Actuals!G198,Assumptions!$F$171*(Assumptions!$C$128*(1-Assumptions!$C$122*Assumptions!$F$170)*(1-Assumptions!$C$126*Assumptions!$F$170)*(1+Assumptions!G$199)*F149+Assumptions!$C$129*(1-Assumptions!$C$123*Assumptions!$F$170)*(1-Assumptions!$C$127*Assumptions!$F$170)*(1+Assumptions!G$199)*(F137+F125))+Assumptions!$C$130*Assumptions!$F$171*(F183-F149-(F137+F125)))</f>
        <v>1166.7</v>
      </c>
      <c r="H250" s="65" t="n">
        <f aca="false">IF(H$5="A",Inputs_Actuals!H198,Assumptions!$F$171*(Assumptions!$C$128*(1-Assumptions!$C$122*Assumptions!$F$170)*(1-Assumptions!$C$126*Assumptions!$F$170)*(1+Assumptions!H$199)*G150+Assumptions!$C$129*(1-Assumptions!$C$123*Assumptions!$F$170)*(1-Assumptions!$C$127*Assumptions!$F$170)*(1+Assumptions!H$199)*(G138+G126))+Assumptions!$C$130*Assumptions!$F$171*(G183-G150-(G138+G126)))</f>
        <v>1380.39</v>
      </c>
      <c r="I250" s="65" t="n">
        <f aca="false">IF(I$5="A",Inputs_Actuals!I198,Assumptions!$F$171*(Assumptions!$C$128*(1-Assumptions!$C$122*Assumptions!$F$170)*(1-Assumptions!$C$126*Assumptions!$F$170)*(1+Assumptions!I$199)*H151+Assumptions!$C$129*(1-Assumptions!$C$123*Assumptions!$F$170)*(1-Assumptions!$C$127*Assumptions!$F$170)*(1+Assumptions!I$199)*(H139+H127))+Assumptions!$C$130*Assumptions!$F$171*(H183-H151-(H139+H127)))</f>
        <v>1356.78</v>
      </c>
      <c r="J250" s="65" t="n">
        <f aca="false">IF(J$5="A",Inputs_Actuals!J198,Assumptions!$F$171*(Assumptions!$C$128*(1-Assumptions!$C$122*Assumptions!$F$170)*(1-Assumptions!$C$126*Assumptions!$F$170)*(1+Assumptions!J$199)*I152+Assumptions!$C$129*(1-Assumptions!$C$123*Assumptions!$F$170)*(1-Assumptions!$C$127*Assumptions!$F$170)*(1+Assumptions!J$199)*(I140+I128))+Assumptions!$C$130*Assumptions!$F$171*(I183-I152-(I140+I128)))</f>
        <v>1691.85</v>
      </c>
      <c r="K250" s="65" t="n">
        <f aca="false">IF(K$5="A",Inputs_Actuals!K198,Assumptions!$F$171*(Assumptions!$C$128*(1-Assumptions!$C$122*Assumptions!$F$170)*(1-Assumptions!$C$126*Assumptions!$F$170)*(1+Assumptions!K$199)*J153+Assumptions!$C$129*(1-Assumptions!$C$123*Assumptions!$F$170)*(1-Assumptions!$C$127*Assumptions!$F$170)*(1+Assumptions!K$199)*(J141+J129))+Assumptions!$C$130*Assumptions!$F$171*(J183-J153-(J141+J129)))</f>
        <v>1535.29</v>
      </c>
      <c r="L250" s="65" t="n">
        <f aca="false">IF(L$5="A",Inputs_Actuals!L198,Assumptions!$F$171*(Assumptions!$C$128*(1-Assumptions!$C$122*Assumptions!$F$170)*(1-Assumptions!$C$126*Assumptions!$F$170)*(1+Assumptions!L$199)*K154+Assumptions!$C$129*(1-Assumptions!$C$123*Assumptions!$F$170)*(1-Assumptions!$C$127*Assumptions!$F$170)*(1+Assumptions!L$199)*(K142+K130))+Assumptions!$C$130*Assumptions!$F$171*(K183-K154-(K142+K130)))</f>
        <v>1292.43</v>
      </c>
      <c r="M250" s="65" t="n">
        <f aca="false">IF(M$5="A",Inputs_Actuals!M198,Assumptions!$F$171*(Assumptions!$C$128*(1-Assumptions!$C$122*Assumptions!$F$170)*(1-Assumptions!$C$126*Assumptions!$F$170)*(1+Assumptions!M$199)*L155+Assumptions!$C$129*(1-Assumptions!$C$123*Assumptions!$F$170)*(1-Assumptions!$C$127*Assumptions!$F$170)*(1+Assumptions!M$199)*(L143+L131))+Assumptions!$C$130*Assumptions!$F$171*(L183-L155-(L143+L131)))</f>
        <v>1534.14098768</v>
      </c>
      <c r="N250" s="65" t="n">
        <f aca="false">IF(N$5="A",Inputs_Actuals!N198,Assumptions!$F$171*(Assumptions!$C$128*(1-Assumptions!$C$122*Assumptions!$F$170)*(1-Assumptions!$C$126*Assumptions!$F$170)*(1+Assumptions!N$199)*M156+Assumptions!$C$129*(1-Assumptions!$C$123*Assumptions!$F$170)*(1-Assumptions!$C$127*Assumptions!$F$170)*(1+Assumptions!N$199)*(M144+M132))+Assumptions!$C$130*Assumptions!$F$171*(M183-M156-(M144+M132)))</f>
        <v>1485.15147551571</v>
      </c>
      <c r="O250" s="65" t="n">
        <f aca="false">IF(O$5="A",Inputs_Actuals!O198,Assumptions!$F$171*(Assumptions!$C$128*(1-Assumptions!$C$122*Assumptions!$F$170)*(1-Assumptions!$C$126*Assumptions!$F$170)*(1+Assumptions!O$199)*N157+Assumptions!$C$129*(1-Assumptions!$C$123*Assumptions!$F$170)*(1-Assumptions!$C$127*Assumptions!$F$170)*(1+Assumptions!O$199)*(N145+N133))+Assumptions!$C$130*Assumptions!$F$171*(N183-N157-(N145+N133)))</f>
        <v>1538.4218959474</v>
      </c>
      <c r="P250" s="65" t="n">
        <f aca="false">IF(P$5="A",Inputs_Actuals!P198,Assumptions!$F$171*(Assumptions!$C$128*(1-Assumptions!$C$122*Assumptions!$F$170)*(1-Assumptions!$C$126*Assumptions!$F$170)*(1+Assumptions!P$199)*O158+Assumptions!$C$129*(1-Assumptions!$C$123*Assumptions!$F$170)*(1-Assumptions!$C$127*Assumptions!$F$170)*(1+Assumptions!P$199)*(O146+O134))+Assumptions!$C$130*Assumptions!$F$171*(O183-O158-(O146+O134)))</f>
        <v>1509.19914862172</v>
      </c>
      <c r="Q250" s="65" t="n">
        <f aca="false">IF(Q$5="A",Inputs_Actuals!Q198,Assumptions!$F$171*(Assumptions!$C$128*(1-Assumptions!$C$122*Assumptions!$F$170)*(1-Assumptions!$C$126*Assumptions!$F$170)*(1+Assumptions!Q$199)*P159+Assumptions!$C$129*(1-Assumptions!$C$123*Assumptions!$F$170)*(1-Assumptions!$C$127*Assumptions!$F$170)*(1+Assumptions!Q$199)*(P147+P135+P123))+Assumptions!$C$130*Assumptions!$F$171*(P183-P159-(P147+P135+P123)))</f>
        <v>2262.44008999964</v>
      </c>
      <c r="R250" s="65" t="n">
        <f aca="false">IF(R$5="A",Inputs_Actuals!R198,Assumptions!$F$171*(Assumptions!$C$128*(1-Assumptions!$C$122*Assumptions!$F$170)*(1-Assumptions!$C$126*Assumptions!$F$170)*(1+Assumptions!R$199)*Q160+Assumptions!$C$129*(1-Assumptions!$C$123*Assumptions!$F$170)*(1-Assumptions!$C$127*Assumptions!$F$170)*(1+Assumptions!R$199)*(Q148+Q136+Q124))+Assumptions!$C$130*Assumptions!$F$171*(Q183-Q160-(Q148+Q136+Q124)))</f>
        <v>1654.85748363283</v>
      </c>
      <c r="S250" s="65" t="n">
        <f aca="false">IF(S$5="A",Inputs_Actuals!S198,Assumptions!$F$171*(Assumptions!$C$128*(1-Assumptions!$C$122*Assumptions!$F$170)*(1-Assumptions!$C$126*Assumptions!$F$170)*(1+Assumptions!S$199)*R161+Assumptions!$C$129*(1-Assumptions!$C$123*Assumptions!$F$170)*(1-Assumptions!$C$127*Assumptions!$F$170)*(1+Assumptions!S$199)*(R149+R137+R125))+Assumptions!$C$130*Assumptions!$F$171*(R183-R161-(R149+R137+R125)))</f>
        <v>1888.84745777355</v>
      </c>
      <c r="T250" s="65" t="n">
        <f aca="false">IF(T$5="A",Inputs_Actuals!T198,Assumptions!$F$171*(Assumptions!$C$128*(1-Assumptions!$C$122*Assumptions!$F$170)*(1-Assumptions!$C$126*Assumptions!$F$170)*(1+Assumptions!T$199)*S162+Assumptions!$C$129*(1-Assumptions!$C$123*Assumptions!$F$170)*(1-Assumptions!$C$127*Assumptions!$F$170)*(1+Assumptions!T$199)*(S150+S138+S126))+Assumptions!$C$130*Assumptions!$F$171*(S183-S162-(S150+S138+S126)))</f>
        <v>1953.56008328591</v>
      </c>
      <c r="U250" s="65" t="n">
        <f aca="false">IF(U$5="A",Inputs_Actuals!U198,Assumptions!$F$171*(Assumptions!$C$128*(1-Assumptions!$C$122*Assumptions!$F$170)*(1-Assumptions!$C$126*Assumptions!$F$170)*(1+Assumptions!U$199)*T163+Assumptions!$C$129*(1-Assumptions!$C$123*Assumptions!$F$170)*(1-Assumptions!$C$127*Assumptions!$F$170)*(1+Assumptions!U$199)*(T151+T139+T127))+Assumptions!$C$130*Assumptions!$F$171*(T183-T163-(T151+T139+T127)))</f>
        <v>1900.91889264281</v>
      </c>
      <c r="V250" s="65" t="n">
        <f aca="false">IF(V$5="A",Inputs_Actuals!V198,Assumptions!$F$171*(Assumptions!$C$128*(1-Assumptions!$C$122*Assumptions!$F$170)*(1-Assumptions!$C$126*Assumptions!$F$170)*(1+Assumptions!V$199)*U164+Assumptions!$C$129*(1-Assumptions!$C$123*Assumptions!$F$170)*(1-Assumptions!$C$127*Assumptions!$F$170)*(1+Assumptions!V$199)*(U152+U140+U128))+Assumptions!$C$130*Assumptions!$F$171*(U183-U164-(U152+U140+U128)))</f>
        <v>1819.62492538751</v>
      </c>
      <c r="W250" s="65" t="n">
        <f aca="false">IF(W$5="A",Inputs_Actuals!W198,Assumptions!$F$171*(Assumptions!$C$128*(1-Assumptions!$C$122*Assumptions!$F$170)*(1-Assumptions!$C$126*Assumptions!$F$170)*(1+Assumptions!W$199)*V165+Assumptions!$C$129*(1-Assumptions!$C$123*Assumptions!$F$170)*(1-Assumptions!$C$127*Assumptions!$F$170)*(1+Assumptions!W$199)*(V153+V141+V129))+Assumptions!$C$130*Assumptions!$F$171*(V183-V165-(V153+V141+V129)))</f>
        <v>2098.14486552235</v>
      </c>
      <c r="X250" s="65" t="n">
        <f aca="false">IF(X$5="A",Inputs_Actuals!X198,Assumptions!$F$171*(Assumptions!$C$128*(1-Assumptions!$C$122*Assumptions!$F$170)*(1-Assumptions!$C$126*Assumptions!$F$170)*(1+Assumptions!X$199)*W166+Assumptions!$C$129*(1-Assumptions!$C$123*Assumptions!$F$170)*(1-Assumptions!$C$127*Assumptions!$F$170)*(1+Assumptions!X$199)*(W154+W142+W130))+Assumptions!$C$130*Assumptions!$F$171*(W183-W166-(W154+W142+W130)))</f>
        <v>1796.58292857848</v>
      </c>
      <c r="Y250" s="65" t="n">
        <f aca="false">IF(Y$5="A",Inputs_Actuals!Y198,Assumptions!$F$171*(Assumptions!$C$128*(1-Assumptions!$C$122*Assumptions!$F$170)*(1-Assumptions!$C$126*Assumptions!$F$170)*(1+Assumptions!Y$199)*X167+Assumptions!$C$129*(1-Assumptions!$C$123*Assumptions!$F$170)*(1-Assumptions!$C$127*Assumptions!$F$170)*(1+Assumptions!Y$199)*(X155+X143+X131))+Assumptions!$C$130*Assumptions!$F$171*(X183-X167-(X155+X143+X131)))</f>
        <v>1986.54435092031</v>
      </c>
      <c r="Z250" s="65" t="n">
        <f aca="false">IF(Z$5="A",Inputs_Actuals!Z198,Assumptions!$F$171*(Assumptions!$C$128*(1-Assumptions!$C$122*Assumptions!$F$170)*(1-Assumptions!$C$126*Assumptions!$F$170)*(1+Assumptions!Z$199)*Y168+Assumptions!$C$129*(1-Assumptions!$C$123*Assumptions!$F$170)*(1-Assumptions!$C$127*Assumptions!$F$170)*(1+Assumptions!Z$199)*(Y156+Y144+Y132))+Assumptions!$C$130*Assumptions!$F$171*(Y183-Y168-(Y156+Y144+Y132)))</f>
        <v>1938.93279841541</v>
      </c>
      <c r="AA250" s="65" t="n">
        <f aca="false">IF(AA$5="A",Inputs_Actuals!AA198,Assumptions!$F$171*(Assumptions!$C$128*(1-Assumptions!$C$122*Assumptions!$F$170)*(1-Assumptions!$C$126*Assumptions!$F$170)*(1+Assumptions!AA$199)*Z169+Assumptions!$C$129*(1-Assumptions!$C$123*Assumptions!$F$170)*(1-Assumptions!$C$127*Assumptions!$F$170)*(1+Assumptions!AA$199)*(Z157+Z145+Z133))+Assumptions!$C$130*Assumptions!$F$171*(Z183-Z169-(Z157+Z145+Z133)))</f>
        <v>2023.76755722975</v>
      </c>
      <c r="AB250" s="65" t="n">
        <f aca="false">IF(AB$5="A",Inputs_Actuals!AB198,Assumptions!$F$171*(Assumptions!$C$128*(1-Assumptions!$C$122*Assumptions!$F$170)*(1-Assumptions!$C$126*Assumptions!$F$170)*(1+Assumptions!AB$199)*AA170+Assumptions!$C$129*(1-Assumptions!$C$123*Assumptions!$F$170)*(1-Assumptions!$C$127*Assumptions!$F$170)*(1+Assumptions!AB$199)*(AA158+AA146+AA134))+Assumptions!$C$130*Assumptions!$F$171*(AA183-AA170-(AA158+AA146+AA134)))</f>
        <v>1959.27862878923</v>
      </c>
    </row>
    <row r="251" customFormat="false" ht="15" hidden="false" customHeight="false" outlineLevel="0" collapsed="false">
      <c r="A251" s="28" t="s">
        <v>955</v>
      </c>
      <c r="B251" s="63"/>
      <c r="C251" s="64" t="n">
        <f aca="false">SUM(E251:P251)</f>
        <v>-3286.72604358726</v>
      </c>
      <c r="D251" s="64" t="n">
        <f aca="false">SUM(Q251:AB251)</f>
        <v>-4022.05962925619</v>
      </c>
      <c r="E251" s="65" t="n">
        <f aca="false">-Inputs_Actuals!E200</f>
        <v>-643.75</v>
      </c>
      <c r="F251" s="65" t="n">
        <f aca="false">IF(F$5="A",-Inputs_Actuals!F200,-(Assumptions!$C$126*Assumptions!$F$170*(1-Assumptions!$C$122*Assumptions!$F$170)*E148+Assumptions!$C$127*Assumptions!$F$170*(1-Assumptions!$C$123*Assumptions!$F$170)*(E136+E124)))</f>
        <v>-162.52</v>
      </c>
      <c r="G251" s="65" t="n">
        <f aca="false">IF(G$5="A",-Inputs_Actuals!G200,-(Assumptions!$C$126*Assumptions!$F$170*(1-Assumptions!$C$122*Assumptions!$F$170)*F149+Assumptions!$C$127*Assumptions!$F$170*(1-Assumptions!$C$123*Assumptions!$F$170)*(F137+F125)))</f>
        <v>-309.78</v>
      </c>
      <c r="H251" s="65" t="n">
        <f aca="false">IF(H$5="A",-Inputs_Actuals!H200,-(Assumptions!$C$126*Assumptions!$F$170*(1-Assumptions!$C$122*Assumptions!$F$170)*G150+Assumptions!$C$127*Assumptions!$F$170*(1-Assumptions!$C$123*Assumptions!$F$170)*(G138+G126)))</f>
        <v>-257.48</v>
      </c>
      <c r="I251" s="65" t="n">
        <f aca="false">IF(I$5="A",-Inputs_Actuals!I200,-(Assumptions!$C$126*Assumptions!$F$170*(1-Assumptions!$C$122*Assumptions!$F$170)*H151+Assumptions!$C$127*Assumptions!$F$170*(1-Assumptions!$C$123*Assumptions!$F$170)*(H139+H127)))</f>
        <v>-277.9</v>
      </c>
      <c r="J251" s="65" t="n">
        <f aca="false">IF(J$5="A",-Inputs_Actuals!J200,-(Assumptions!$C$126*Assumptions!$F$170*(1-Assumptions!$C$122*Assumptions!$F$170)*I152+Assumptions!$C$127*Assumptions!$F$170*(1-Assumptions!$C$123*Assumptions!$F$170)*(I140+I128)))</f>
        <v>-206.34</v>
      </c>
      <c r="K251" s="65" t="n">
        <f aca="false">IF(K$5="A",-Inputs_Actuals!K200,-(Assumptions!$C$126*Assumptions!$F$170*(1-Assumptions!$C$122*Assumptions!$F$170)*J153+Assumptions!$C$127*Assumptions!$F$170*(1-Assumptions!$C$123*Assumptions!$F$170)*(J141+J129)))</f>
        <v>-401.83</v>
      </c>
      <c r="L251" s="65" t="n">
        <f aca="false">IF(L$5="A",-Inputs_Actuals!L200,-(Assumptions!$C$126*Assumptions!$F$170*(1-Assumptions!$C$122*Assumptions!$F$170)*K154+Assumptions!$C$127*Assumptions!$F$170*(1-Assumptions!$C$123*Assumptions!$F$170)*(K142+K130)))</f>
        <v>-178.96</v>
      </c>
      <c r="M251" s="65" t="n">
        <f aca="false">IF(M$5="A",-Inputs_Actuals!M200,-(Assumptions!$C$126*Assumptions!$F$170*(1-Assumptions!$C$122*Assumptions!$F$170)*L155+Assumptions!$C$127*Assumptions!$F$170*(1-Assumptions!$C$123*Assumptions!$F$170)*(L143+L131)))</f>
        <v>-221.825968</v>
      </c>
      <c r="N251" s="65" t="n">
        <f aca="false">IF(N$5="A",-Inputs_Actuals!N200,-(Assumptions!$C$126*Assumptions!$F$170*(1-Assumptions!$C$122*Assumptions!$F$170)*M156+Assumptions!$C$127*Assumptions!$F$170*(1-Assumptions!$C$123*Assumptions!$F$170)*(M144+M132)))</f>
        <v>-187.970209154</v>
      </c>
      <c r="O251" s="65" t="n">
        <f aca="false">IF(O$5="A",-Inputs_Actuals!O200,-(Assumptions!$C$126*Assumptions!$F$170*(1-Assumptions!$C$122*Assumptions!$F$170)*N157+Assumptions!$C$127*Assumptions!$F$170*(1-Assumptions!$C$123*Assumptions!$F$170)*(N145+N133)))</f>
        <v>-237.633320365051</v>
      </c>
      <c r="P251" s="65" t="n">
        <f aca="false">IF(P$5="A",-Inputs_Actuals!P200,-(Assumptions!$C$126*Assumptions!$F$170*(1-Assumptions!$C$122*Assumptions!$F$170)*O158+Assumptions!$C$127*Assumptions!$F$170*(1-Assumptions!$C$123*Assumptions!$F$170)*(O146+O134)))</f>
        <v>-200.736546068207</v>
      </c>
      <c r="Q251" s="65" t="n">
        <f aca="false">IF(Q$5="A",-Inputs_Actuals!Q200,-(Assumptions!$C$126*Assumptions!$F$170*(1-Assumptions!$C$122*Assumptions!$F$170)*P159+Assumptions!$C$127*Assumptions!$F$170*(1-Assumptions!$C$123*Assumptions!$F$170)*(P147+P135+P123)))</f>
        <v>-571.026207600372</v>
      </c>
      <c r="R251" s="65" t="n">
        <f aca="false">IF(R$5="A",-Inputs_Actuals!R200,-(Assumptions!$C$126*Assumptions!$F$170*(1-Assumptions!$C$122*Assumptions!$F$170)*Q160+Assumptions!$C$127*Assumptions!$F$170*(1-Assumptions!$C$123*Assumptions!$F$170)*(Q148+Q136+Q124)))</f>
        <v>-254.115299548038</v>
      </c>
      <c r="S251" s="65" t="n">
        <f aca="false">IF(S$5="A",-Inputs_Actuals!S200,-(Assumptions!$C$126*Assumptions!$F$170*(1-Assumptions!$C$122*Assumptions!$F$170)*R161+Assumptions!$C$127*Assumptions!$F$170*(1-Assumptions!$C$123*Assumptions!$F$170)*(R149+R137+R125)))</f>
        <v>-370.477402500453</v>
      </c>
      <c r="T251" s="65" t="n">
        <f aca="false">IF(T$5="A",-Inputs_Actuals!T200,-(Assumptions!$C$126*Assumptions!$F$170*(1-Assumptions!$C$122*Assumptions!$F$170)*S162+Assumptions!$C$127*Assumptions!$F$170*(1-Assumptions!$C$123*Assumptions!$F$170)*(S150+S138+S126)))</f>
        <v>-366.933258386637</v>
      </c>
      <c r="U251" s="65" t="n">
        <f aca="false">IF(U$5="A",-Inputs_Actuals!U200,-(Assumptions!$C$126*Assumptions!$F$170*(1-Assumptions!$C$122*Assumptions!$F$170)*T163+Assumptions!$C$127*Assumptions!$F$170*(1-Assumptions!$C$123*Assumptions!$F$170)*(T151+T139+T127)))</f>
        <v>-318.224702734202</v>
      </c>
      <c r="V251" s="65" t="n">
        <f aca="false">IF(V$5="A",-Inputs_Actuals!V200,-(Assumptions!$C$126*Assumptions!$F$170*(1-Assumptions!$C$122*Assumptions!$F$170)*U164+Assumptions!$C$127*Assumptions!$F$170*(1-Assumptions!$C$123*Assumptions!$F$170)*(U152+U140+U128)))</f>
        <v>-281.598427978888</v>
      </c>
      <c r="W251" s="65" t="n">
        <f aca="false">IF(W$5="A",-Inputs_Actuals!W200,-(Assumptions!$C$126*Assumptions!$F$170*(1-Assumptions!$C$122*Assumptions!$F$170)*V165+Assumptions!$C$127*Assumptions!$F$170*(1-Assumptions!$C$123*Assumptions!$F$170)*(V153+V141+V129)))</f>
        <v>-392.981516294327</v>
      </c>
      <c r="X251" s="65" t="n">
        <f aca="false">IF(X$5="A",-Inputs_Actuals!X200,-(Assumptions!$C$126*Assumptions!$F$170*(1-Assumptions!$C$122*Assumptions!$F$170)*W166+Assumptions!$C$127*Assumptions!$F$170*(1-Assumptions!$C$123*Assumptions!$F$170)*(W154+W142+W130)))</f>
        <v>-255.920232747681</v>
      </c>
      <c r="Y251" s="65" t="n">
        <f aca="false">IF(Y$5="A",-Inputs_Actuals!Y200,-(Assumptions!$C$126*Assumptions!$F$170*(1-Assumptions!$C$122*Assumptions!$F$170)*X167+Assumptions!$C$127*Assumptions!$F$170*(1-Assumptions!$C$123*Assumptions!$F$170)*(X155+X143+X131)))</f>
        <v>-327.553789044977</v>
      </c>
      <c r="Z251" s="65" t="n">
        <f aca="false">IF(Z$5="A",-Inputs_Actuals!Z200,-(Assumptions!$C$126*Assumptions!$F$170*(1-Assumptions!$C$122*Assumptions!$F$170)*Y168+Assumptions!$C$127*Assumptions!$F$170*(1-Assumptions!$C$123*Assumptions!$F$170)*(Y156+Y144+Y132)))</f>
        <v>-295.744456718017</v>
      </c>
      <c r="AA251" s="65" t="n">
        <f aca="false">IF(AA$5="A",-Inputs_Actuals!AA200,-(Assumptions!$C$126*Assumptions!$F$170*(1-Assumptions!$C$122*Assumptions!$F$170)*Z169+Assumptions!$C$127*Assumptions!$F$170*(1-Assumptions!$C$123*Assumptions!$F$170)*(Z157+Z145+Z133)))</f>
        <v>-316.84596641341</v>
      </c>
      <c r="AB251" s="65" t="n">
        <f aca="false">IF(AB$5="A",-Inputs_Actuals!AB200,-(Assumptions!$C$126*Assumptions!$F$170*(1-Assumptions!$C$122*Assumptions!$F$170)*AA170+Assumptions!$C$127*Assumptions!$F$170*(1-Assumptions!$C$123*Assumptions!$F$170)*(AA158+AA146+AA134)))</f>
        <v>-270.638369289187</v>
      </c>
    </row>
    <row r="252" customFormat="false" ht="15" hidden="false" customHeight="false" outlineLevel="0" collapsed="false">
      <c r="A252" s="28" t="s">
        <v>956</v>
      </c>
      <c r="B252" s="63"/>
      <c r="C252" s="64" t="n">
        <f aca="false">SUM(E252:P252)</f>
        <v>6492.67645702395</v>
      </c>
      <c r="D252" s="64" t="n">
        <f aca="false">SUM(Q252:AB252)</f>
        <v>9226.55863693987</v>
      </c>
      <c r="E252" s="65" t="n">
        <f aca="false">Inputs_Actuals!E199</f>
        <v>889.93</v>
      </c>
      <c r="F252" s="65" t="n">
        <f aca="false">IF(F$5="A",Inputs_Actuals!F199,Assumptions!F$199*((1-Assumptions!$C$122*Assumptions!$F$170)*(1-Assumptions!$C$126*Assumptions!$F$170)*E148+(1-Assumptions!$C$123*Assumptions!$F$170)*(1-Assumptions!$C$127*Assumptions!$F$170)*(E136+E124)))</f>
        <v>373.57</v>
      </c>
      <c r="G252" s="65" t="n">
        <f aca="false">IF(G$5="A",Inputs_Actuals!G199,Assumptions!G$199*((1-Assumptions!$C$122*Assumptions!$F$170)*(1-Assumptions!$C$126*Assumptions!$F$170)*F149+(1-Assumptions!$C$123*Assumptions!$F$170)*(1-Assumptions!$C$127*Assumptions!$F$170)*(F137+F125)))</f>
        <v>512.29</v>
      </c>
      <c r="H252" s="65" t="n">
        <f aca="false">IF(H$5="A",Inputs_Actuals!H199,Assumptions!H$199*((1-Assumptions!$C$122*Assumptions!$F$170)*(1-Assumptions!$C$126*Assumptions!$F$170)*G150+(1-Assumptions!$C$123*Assumptions!$F$170)*(1-Assumptions!$C$127*Assumptions!$F$170)*(G138+G126)))</f>
        <v>621.88</v>
      </c>
      <c r="I252" s="65" t="n">
        <f aca="false">IF(I$5="A",Inputs_Actuals!I199,Assumptions!I$199*((1-Assumptions!$C$122*Assumptions!$F$170)*(1-Assumptions!$C$126*Assumptions!$F$170)*H151+(1-Assumptions!$C$123*Assumptions!$F$170)*(1-Assumptions!$C$127*Assumptions!$F$170)*(H139+H127)))</f>
        <v>606.34</v>
      </c>
      <c r="J252" s="65" t="n">
        <f aca="false">IF(J$5="A",Inputs_Actuals!J199,Assumptions!J$199*((1-Assumptions!$C$122*Assumptions!$F$170)*(1-Assumptions!$C$126*Assumptions!$F$170)*I152+(1-Assumptions!$C$123*Assumptions!$F$170)*(1-Assumptions!$C$127*Assumptions!$F$170)*(I140+I128)))</f>
        <v>432.11</v>
      </c>
      <c r="K252" s="65" t="n">
        <f aca="false">IF(K$5="A",Inputs_Actuals!K199,Assumptions!K$199*((1-Assumptions!$C$122*Assumptions!$F$170)*(1-Assumptions!$C$126*Assumptions!$F$170)*J153+(1-Assumptions!$C$123*Assumptions!$F$170)*(1-Assumptions!$C$127*Assumptions!$F$170)*(J141+J129)))</f>
        <v>710.24</v>
      </c>
      <c r="L252" s="65" t="n">
        <f aca="false">IF(L$5="A",Inputs_Actuals!L199,Assumptions!L$199*((1-Assumptions!$C$122*Assumptions!$F$170)*(1-Assumptions!$C$126*Assumptions!$F$170)*K154+(1-Assumptions!$C$123*Assumptions!$F$170)*(1-Assumptions!$C$127*Assumptions!$F$170)*(K142+K130)))</f>
        <v>350.54</v>
      </c>
      <c r="M252" s="65" t="n">
        <f aca="false">IF(M$5="A",Inputs_Actuals!M199,Assumptions!M$199*((1-Assumptions!$C$122*Assumptions!$F$170)*(1-Assumptions!$C$126*Assumptions!$F$170)*L155+(1-Assumptions!$C$123*Assumptions!$F$170)*(1-Assumptions!$C$127*Assumptions!$F$170)*(L143+L131)))</f>
        <v>543.4736216</v>
      </c>
      <c r="N252" s="65" t="n">
        <f aca="false">IF(N$5="A",Inputs_Actuals!N199,Assumptions!N$199*((1-Assumptions!$C$122*Assumptions!$F$170)*(1-Assumptions!$C$126*Assumptions!$F$170)*M156+(1-Assumptions!$C$123*Assumptions!$F$170)*(1-Assumptions!$C$127*Assumptions!$F$170)*(M144+M132)))</f>
        <v>460.5270124273</v>
      </c>
      <c r="O252" s="65" t="n">
        <f aca="false">IF(O$5="A",Inputs_Actuals!O199,Assumptions!O$199*((1-Assumptions!$C$122*Assumptions!$F$170)*(1-Assumptions!$C$126*Assumptions!$F$170)*N157+(1-Assumptions!$C$123*Assumptions!$F$170)*(1-Assumptions!$C$127*Assumptions!$F$170)*(N145+N133)))</f>
        <v>532.688733549594</v>
      </c>
      <c r="P252" s="65" t="n">
        <f aca="false">IF(P$5="A",Inputs_Actuals!P199,Assumptions!P$199*((1-Assumptions!$C$122*Assumptions!$F$170)*(1-Assumptions!$C$126*Assumptions!$F$170)*O158+(1-Assumptions!$C$123*Assumptions!$F$170)*(1-Assumptions!$C$127*Assumptions!$F$170)*(O146+O134)))</f>
        <v>459.087089447054</v>
      </c>
      <c r="Q252" s="65" t="n">
        <f aca="false">IF(Q$5="A",Inputs_Actuals!Q199,Assumptions!Q$199*((1-Assumptions!$C$122*Assumptions!$F$170)*(1-Assumptions!$C$126*Assumptions!$F$170)*P159+(1-Assumptions!$C$123*Assumptions!$F$170)*(1-Assumptions!$C$127*Assumptions!$F$170)*(P147+P135+P123)))</f>
        <v>1305.20243932628</v>
      </c>
      <c r="R252" s="65" t="n">
        <f aca="false">IF(R$5="A",Inputs_Actuals!R199,Assumptions!R$199*((1-Assumptions!$C$122*Assumptions!$F$170)*(1-Assumptions!$C$126*Assumptions!$F$170)*Q160+(1-Assumptions!$C$123*Assumptions!$F$170)*(1-Assumptions!$C$127*Assumptions!$F$170)*(Q148+Q136+Q124)))</f>
        <v>576.665725293727</v>
      </c>
      <c r="S252" s="65" t="n">
        <f aca="false">IF(S$5="A",Inputs_Actuals!S199,Assumptions!S$199*((1-Assumptions!$C$122*Assumptions!$F$170)*(1-Assumptions!$C$126*Assumptions!$F$170)*R161+(1-Assumptions!$C$123*Assumptions!$F$170)*(1-Assumptions!$C$127*Assumptions!$F$170)*(R149+R137+R125)))</f>
        <v>829.552337112663</v>
      </c>
      <c r="T252" s="65" t="n">
        <f aca="false">IF(T$5="A",Inputs_Actuals!T199,Assumptions!T$199*((1-Assumptions!$C$122*Assumptions!$F$170)*(1-Assumptions!$C$126*Assumptions!$F$170)*S162+(1-Assumptions!$C$123*Assumptions!$F$170)*(1-Assumptions!$C$127*Assumptions!$F$170)*(S150+S138+S126)))</f>
        <v>847.759481563561</v>
      </c>
      <c r="U252" s="65" t="n">
        <f aca="false">IF(U$5="A",Inputs_Actuals!U199,Assumptions!U$199*((1-Assumptions!$C$122*Assumptions!$F$170)*(1-Assumptions!$C$126*Assumptions!$F$170)*T163+(1-Assumptions!$C$123*Assumptions!$F$170)*(1-Assumptions!$C$127*Assumptions!$F$170)*(T151+T139+T127)))</f>
        <v>746.897777547326</v>
      </c>
      <c r="V252" s="65" t="n">
        <f aca="false">IF(V$5="A",Inputs_Actuals!V199,Assumptions!V$199*((1-Assumptions!$C$122*Assumptions!$F$170)*(1-Assumptions!$C$126*Assumptions!$F$170)*U164+(1-Assumptions!$C$123*Assumptions!$F$170)*(1-Assumptions!$C$127*Assumptions!$F$170)*(U152+U140+U128)))</f>
        <v>643.565666049548</v>
      </c>
      <c r="W252" s="65" t="n">
        <f aca="false">IF(W$5="A",Inputs_Actuals!W199,Assumptions!W$199*((1-Assumptions!$C$122*Assumptions!$F$170)*(1-Assumptions!$C$126*Assumptions!$F$170)*V165+(1-Assumptions!$C$123*Assumptions!$F$170)*(1-Assumptions!$C$127*Assumptions!$F$170)*(V153+V141+V129)))</f>
        <v>916.922994698201</v>
      </c>
      <c r="X252" s="65" t="n">
        <f aca="false">IF(X$5="A",Inputs_Actuals!X199,Assumptions!X$199*((1-Assumptions!$C$122*Assumptions!$F$170)*(1-Assumptions!$C$126*Assumptions!$F$170)*W166+(1-Assumptions!$C$123*Assumptions!$F$170)*(1-Assumptions!$C$127*Assumptions!$F$170)*(W154+W142+W130)))</f>
        <v>574.249257830423</v>
      </c>
      <c r="Y252" s="65" t="n">
        <f aca="false">IF(Y$5="A",Inputs_Actuals!Y199,Assumptions!Y$199*((1-Assumptions!$C$122*Assumptions!$F$170)*(1-Assumptions!$C$126*Assumptions!$F$170)*X167+(1-Assumptions!$C$123*Assumptions!$F$170)*(1-Assumptions!$C$127*Assumptions!$F$170)*(X155+X143+X131)))</f>
        <v>754.56261543476</v>
      </c>
      <c r="Z252" s="65" t="n">
        <f aca="false">IF(Z$5="A",Inputs_Actuals!Z199,Assumptions!Z$199*((1-Assumptions!$C$122*Assumptions!$F$170)*(1-Assumptions!$C$126*Assumptions!$F$170)*Y168+(1-Assumptions!$C$123*Assumptions!$F$170)*(1-Assumptions!$C$127*Assumptions!$F$170)*(Y156+Y144+Y132)))</f>
        <v>674.855671755848</v>
      </c>
      <c r="AA252" s="65" t="n">
        <f aca="false">IF(AA$5="A",Inputs_Actuals!AA199,Assumptions!AA$199*((1-Assumptions!$C$122*Assumptions!$F$170)*(1-Assumptions!$C$126*Assumptions!$F$170)*Z169+(1-Assumptions!$C$123*Assumptions!$F$170)*(1-Assumptions!$C$127*Assumptions!$F$170)*(Z157+Z145+Z133)))</f>
        <v>730.99177029537</v>
      </c>
      <c r="AB252" s="65" t="n">
        <f aca="false">IF(AB$5="A",Inputs_Actuals!AB199,Assumptions!AB$199*((1-Assumptions!$C$122*Assumptions!$F$170)*(1-Assumptions!$C$126*Assumptions!$F$170)*AA170+(1-Assumptions!$C$123*Assumptions!$F$170)*(1-Assumptions!$C$127*Assumptions!$F$170)*(AA158+AA146+AA134)))</f>
        <v>625.332900032157</v>
      </c>
    </row>
    <row r="253" customFormat="false" ht="15" hidden="false" customHeight="false" outlineLevel="0" collapsed="false">
      <c r="A253" s="59" t="s">
        <v>932</v>
      </c>
      <c r="B253" s="60"/>
      <c r="C253" s="61" t="n">
        <f aca="false">P253</f>
        <v>206169.015987616</v>
      </c>
      <c r="D253" s="61" t="n">
        <f aca="false">AB253</f>
        <v>261121.188491756</v>
      </c>
      <c r="E253" s="61" t="n">
        <f aca="false">E247+E248+E249+E250+E251+E252</f>
        <v>161537.76</v>
      </c>
      <c r="F253" s="61" t="n">
        <f aca="false">F247+F248+F249+F250+F251+F252</f>
        <v>164221.87</v>
      </c>
      <c r="G253" s="61" t="n">
        <f aca="false">G247+G248+G249+G250+G251+G252</f>
        <v>168175.09</v>
      </c>
      <c r="H253" s="61" t="n">
        <f aca="false">H247+H248+H249+H250+H251+H252</f>
        <v>173607.3</v>
      </c>
      <c r="I253" s="61" t="n">
        <f aca="false">I247+I248+I249+I250+I251+I252</f>
        <v>174737.86</v>
      </c>
      <c r="J253" s="61" t="n">
        <f aca="false">J247+J248+J249+J250+J251+J252</f>
        <v>179786.18</v>
      </c>
      <c r="K253" s="61" t="n">
        <f aca="false">K247+K248+K249+K250+K251+K252</f>
        <v>183863.96</v>
      </c>
      <c r="L253" s="61" t="n">
        <f aca="false">L247+L248+L249+L250+L251+L252</f>
        <v>187368.91</v>
      </c>
      <c r="M253" s="61" t="n">
        <f aca="false">M247+M248+M249+M250+M251+M252</f>
        <v>192436.78119128</v>
      </c>
      <c r="N253" s="61" t="n">
        <f aca="false">N247+N248+N249+N250+N251+N252</f>
        <v>197733.437557769</v>
      </c>
      <c r="O253" s="61" t="n">
        <f aca="false">O247+O248+O249+O250+O251+O252</f>
        <v>202185.41245898</v>
      </c>
      <c r="P253" s="61" t="n">
        <f aca="false">P247+P248+P249+P250+P251+P252</f>
        <v>206169.015987616</v>
      </c>
      <c r="Q253" s="61" t="n">
        <f aca="false">Q247+Q248+Q249+Q250+Q251+Q252</f>
        <v>210929.915137777</v>
      </c>
      <c r="R253" s="61" t="n">
        <f aca="false">R247+R248+R249+R250+R251+R252</f>
        <v>215919.185320842</v>
      </c>
      <c r="S253" s="61" t="n">
        <f aca="false">S247+S248+S249+S250+S251+S252</f>
        <v>220398.149792098</v>
      </c>
      <c r="T253" s="61" t="n">
        <f aca="false">T247+T248+T249+T250+T251+T252</f>
        <v>224921.647227816</v>
      </c>
      <c r="U253" s="61" t="n">
        <f aca="false">U247+U248+U249+U250+U251+U252</f>
        <v>229684.216038077</v>
      </c>
      <c r="V253" s="61" t="n">
        <f aca="false">V247+V248+V249+V250+V251+V252</f>
        <v>234194.714753691</v>
      </c>
      <c r="W253" s="61" t="n">
        <f aca="false">W247+W248+W249+W250+W251+W252</f>
        <v>238178.354248375</v>
      </c>
      <c r="X253" s="61" t="n">
        <f aca="false">X247+X248+X249+X250+X251+X252</f>
        <v>241582.221397932</v>
      </c>
      <c r="Y253" s="61" t="n">
        <f aca="false">Y247+Y248+Y249+Y250+Y251+Y252</f>
        <v>246633.176101812</v>
      </c>
      <c r="Z253" s="61" t="n">
        <f aca="false">Z247+Z248+Z249+Z250+Z251+Z252</f>
        <v>251903.4488387</v>
      </c>
      <c r="AA253" s="61" t="n">
        <f aca="false">AA247+AA248+AA249+AA250+AA251+AA252</f>
        <v>256795.226601984</v>
      </c>
      <c r="AB253" s="61" t="n">
        <f aca="false">AB247+AB248+AB249+AB250+AB251+AB252</f>
        <v>261121.188491756</v>
      </c>
    </row>
    <row r="254" customFormat="false" ht="15" hidden="false" customHeight="false" outlineLevel="0" collapsed="false">
      <c r="A254" s="28" t="s">
        <v>933</v>
      </c>
      <c r="B254" s="63"/>
      <c r="C254" s="64" t="n">
        <f aca="false">SUM(E254:P254)</f>
        <v>0</v>
      </c>
      <c r="D254" s="64" t="n">
        <f aca="false">SUM(Q254:AB254)</f>
        <v>0</v>
      </c>
      <c r="E254" s="74" t="n">
        <f aca="false">ROUND(E253-E183,2)</f>
        <v>0</v>
      </c>
      <c r="F254" s="74" t="n">
        <f aca="false">ROUND(F253-F183,2)</f>
        <v>0</v>
      </c>
      <c r="G254" s="74" t="n">
        <f aca="false">ROUND(G253-G183,2)</f>
        <v>0</v>
      </c>
      <c r="H254" s="74" t="n">
        <f aca="false">ROUND(H253-H183,2)</f>
        <v>0</v>
      </c>
      <c r="I254" s="74" t="n">
        <f aca="false">ROUND(I253-I183,2)</f>
        <v>0</v>
      </c>
      <c r="J254" s="74" t="n">
        <f aca="false">ROUND(J253-J183,2)</f>
        <v>0</v>
      </c>
      <c r="K254" s="74" t="n">
        <f aca="false">ROUND(K253-K183,2)</f>
        <v>0</v>
      </c>
      <c r="L254" s="74" t="n">
        <f aca="false">ROUND(L253-L183,2)</f>
        <v>0</v>
      </c>
      <c r="M254" s="74" t="n">
        <f aca="false">ROUND(M253-M183,2)</f>
        <v>0</v>
      </c>
      <c r="N254" s="74" t="n">
        <f aca="false">ROUND(N253-N183,2)</f>
        <v>0</v>
      </c>
      <c r="O254" s="74" t="n">
        <f aca="false">ROUND(O253-O183,2)</f>
        <v>0</v>
      </c>
      <c r="P254" s="74" t="n">
        <f aca="false">ROUND(P253-P183,2)</f>
        <v>0</v>
      </c>
      <c r="Q254" s="74" t="n">
        <f aca="false">ROUND(Q253-Q183,2)</f>
        <v>0</v>
      </c>
      <c r="R254" s="74" t="n">
        <f aca="false">ROUND(R253-R183,2)</f>
        <v>0</v>
      </c>
      <c r="S254" s="74" t="n">
        <f aca="false">ROUND(S253-S183,2)</f>
        <v>0</v>
      </c>
      <c r="T254" s="74" t="n">
        <f aca="false">ROUND(T253-T183,2)</f>
        <v>0</v>
      </c>
      <c r="U254" s="74" t="n">
        <f aca="false">ROUND(U253-U183,2)</f>
        <v>0</v>
      </c>
      <c r="V254" s="74" t="n">
        <f aca="false">ROUND(V253-V183,2)</f>
        <v>0</v>
      </c>
      <c r="W254" s="74" t="n">
        <f aca="false">ROUND(W253-W183,2)</f>
        <v>0</v>
      </c>
      <c r="X254" s="74" t="n">
        <f aca="false">ROUND(X253-X183,2)</f>
        <v>0</v>
      </c>
      <c r="Y254" s="74" t="n">
        <f aca="false">ROUND(Y253-Y183,2)</f>
        <v>0</v>
      </c>
      <c r="Z254" s="74" t="n">
        <f aca="false">ROUND(Z253-Z183,2)</f>
        <v>0</v>
      </c>
      <c r="AA254" s="74" t="n">
        <f aca="false">ROUND(AA253-AA183,2)</f>
        <v>0</v>
      </c>
      <c r="AB254" s="74" t="n">
        <f aca="false">ROUND(AB253-AB183,2)</f>
        <v>0</v>
      </c>
    </row>
    <row r="255" customFormat="false" ht="15" hidden="false" customHeight="false" outlineLevel="0" collapsed="false">
      <c r="A255" s="28" t="s">
        <v>739</v>
      </c>
      <c r="B255" s="63" t="s">
        <v>58</v>
      </c>
      <c r="C255" s="68" t="n">
        <f aca="false">SUM(E255:P255)</f>
        <v>57.82722</v>
      </c>
      <c r="D255" s="68" t="n">
        <f aca="false">SUM(Q255:AB255)</f>
        <v>49.2</v>
      </c>
      <c r="E255" s="69" t="n">
        <f aca="false">IF(E$5="A",Inputs_Actuals!E202,New_Business!E13)</f>
        <v>9</v>
      </c>
      <c r="F255" s="69" t="n">
        <f aca="false">IF(F$5="A",Inputs_Actuals!F202,New_Business!F13)</f>
        <v>4</v>
      </c>
      <c r="G255" s="69" t="n">
        <f aca="false">IF(G$5="A",Inputs_Actuals!G202,New_Business!G13)</f>
        <v>7</v>
      </c>
      <c r="H255" s="69" t="n">
        <f aca="false">IF(H$5="A",Inputs_Actuals!H202,New_Business!H13)</f>
        <v>5</v>
      </c>
      <c r="I255" s="69" t="n">
        <f aca="false">IF(I$5="A",Inputs_Actuals!I202,New_Business!I13)</f>
        <v>3</v>
      </c>
      <c r="J255" s="69" t="n">
        <f aca="false">IF(J$5="A",Inputs_Actuals!J202,New_Business!J13)</f>
        <v>4</v>
      </c>
      <c r="K255" s="69" t="n">
        <f aca="false">IF(K$5="A",Inputs_Actuals!K202,New_Business!K13)</f>
        <v>4</v>
      </c>
      <c r="L255" s="69" t="n">
        <f aca="false">IF(L$5="A",Inputs_Actuals!L202,New_Business!L13)</f>
        <v>5</v>
      </c>
      <c r="M255" s="69" t="n">
        <f aca="false">IF(M$5="A",Inputs_Actuals!M202,New_Business!M13)</f>
        <v>4.46531</v>
      </c>
      <c r="N255" s="69" t="n">
        <f aca="false">IF(N$5="A",Inputs_Actuals!N202,New_Business!N13)</f>
        <v>4.63054</v>
      </c>
      <c r="O255" s="69" t="n">
        <f aca="false">IF(O$5="A",Inputs_Actuals!O202,New_Business!O13)</f>
        <v>4.21726</v>
      </c>
      <c r="P255" s="69" t="n">
        <f aca="false">IF(P$5="A",Inputs_Actuals!P202,New_Business!P13)</f>
        <v>3.51411</v>
      </c>
      <c r="Q255" s="69" t="n">
        <f aca="false">IF(Q$5="A",Inputs_Actuals!Q202,New_Business!Q13)</f>
        <v>5.04423</v>
      </c>
      <c r="R255" s="69" t="n">
        <f aca="false">IF(R$5="A",Inputs_Actuals!R202,New_Business!R13)</f>
        <v>4.46531</v>
      </c>
      <c r="S255" s="69" t="n">
        <f aca="false">IF(S$5="A",Inputs_Actuals!S202,New_Business!S13)</f>
        <v>4.34108</v>
      </c>
      <c r="T255" s="69" t="n">
        <f aca="false">IF(T$5="A",Inputs_Actuals!T202,New_Business!T13)</f>
        <v>4.13444</v>
      </c>
      <c r="U255" s="69" t="n">
        <f aca="false">IF(U$5="A",Inputs_Actuals!U202,New_Business!U13)</f>
        <v>4.13444</v>
      </c>
      <c r="V255" s="69" t="n">
        <f aca="false">IF(V$5="A",Inputs_Actuals!V202,New_Business!V13)</f>
        <v>3.9278</v>
      </c>
      <c r="W255" s="69" t="n">
        <f aca="false">IF(W$5="A",Inputs_Actuals!W202,New_Business!W13)</f>
        <v>3.51411</v>
      </c>
      <c r="X255" s="69" t="n">
        <f aca="false">IF(X$5="A",Inputs_Actuals!X202,New_Business!X13)</f>
        <v>2.81137</v>
      </c>
      <c r="Y255" s="69" t="n">
        <f aca="false">IF(Y$5="A",Inputs_Actuals!Y202,New_Business!Y13)</f>
        <v>4.46531</v>
      </c>
      <c r="Z255" s="69" t="n">
        <f aca="false">IF(Z$5="A",Inputs_Actuals!Z202,New_Business!Z13)</f>
        <v>4.63054</v>
      </c>
      <c r="AA255" s="69" t="n">
        <f aca="false">IF(AA$5="A",Inputs_Actuals!AA202,New_Business!AA13)</f>
        <v>4.21726</v>
      </c>
      <c r="AB255" s="69" t="n">
        <f aca="false">IF(AB$5="A",Inputs_Actuals!AB202,New_Business!AB13)</f>
        <v>3.51411</v>
      </c>
    </row>
    <row r="256" customFormat="false" ht="15" hidden="false" customHeight="false" outlineLevel="0" collapsed="false">
      <c r="A256" s="28" t="s">
        <v>957</v>
      </c>
      <c r="B256" s="63"/>
      <c r="C256" s="68" t="n">
        <f aca="false">SUM(E256:P256)</f>
        <v>-26.84</v>
      </c>
      <c r="D256" s="68" t="n">
        <f aca="false">SUM(Q256:AB256)</f>
        <v>-22.3248996</v>
      </c>
      <c r="E256" s="69" t="n">
        <f aca="false">-Inputs_Actuals!E203</f>
        <v>-4</v>
      </c>
      <c r="F256" s="69" t="n">
        <f aca="false">IF(F$5="A",-Inputs_Actuals!F203,-Assumptions!$F$170*(Assumptions!$C$124*E210+Assumptions!$C$125*(E198+E186)))</f>
        <v>-3</v>
      </c>
      <c r="G256" s="69" t="n">
        <f aca="false">IF(G$5="A",-Inputs_Actuals!G203,-Assumptions!$F$170*(Assumptions!$C$124*F211+Assumptions!$C$125*(F199+F187)))</f>
        <v>-4</v>
      </c>
      <c r="H256" s="69" t="n">
        <f aca="false">IF(H$5="A",-Inputs_Actuals!H203,-Assumptions!$F$170*(Assumptions!$C$124*G212+Assumptions!$C$125*(G200+G188)))</f>
        <v>-1</v>
      </c>
      <c r="I256" s="69" t="n">
        <f aca="false">IF(I$5="A",-Inputs_Actuals!I203,-Assumptions!$F$170*(Assumptions!$C$124*H213+Assumptions!$C$125*(H201+H189)))</f>
        <v>-4</v>
      </c>
      <c r="J256" s="69" t="n">
        <f aca="false">IF(J$5="A",-Inputs_Actuals!J203,-Assumptions!$F$170*(Assumptions!$C$124*I214+Assumptions!$C$125*(I202+I190)))</f>
        <v>-1</v>
      </c>
      <c r="K256" s="69" t="n">
        <f aca="false">IF(K$5="A",-Inputs_Actuals!K203,-Assumptions!$F$170*(Assumptions!$C$124*J215+Assumptions!$C$125*(J203+J191)))</f>
        <v>-2</v>
      </c>
      <c r="L256" s="69" t="n">
        <f aca="false">IF(L$5="A",-Inputs_Actuals!L203,-Assumptions!$F$170*(Assumptions!$C$124*K216+Assumptions!$C$125*(K204+K192)))</f>
        <v>-3</v>
      </c>
      <c r="M256" s="69" t="n">
        <f aca="false">IF(M$5="A",-Inputs_Actuals!M203,-Assumptions!$F$170*(Assumptions!$C$124*L217+Assumptions!$C$125*(L205+L193)))</f>
        <v>-1.1</v>
      </c>
      <c r="N256" s="69" t="n">
        <f aca="false">IF(N$5="A",-Inputs_Actuals!N203,-Assumptions!$F$170*(Assumptions!$C$124*M218+Assumptions!$C$125*(M206+M194)))</f>
        <v>-0.9</v>
      </c>
      <c r="O256" s="69" t="n">
        <f aca="false">IF(O$5="A",-Inputs_Actuals!O203,-Assumptions!$F$170*(Assumptions!$C$124*N219+Assumptions!$C$125*(N207+N195)))</f>
        <v>-1.6</v>
      </c>
      <c r="P256" s="69" t="n">
        <f aca="false">IF(P$5="A",-Inputs_Actuals!P203,-Assumptions!$F$170*(Assumptions!$C$124*O220+Assumptions!$C$125*(O208+O196)))</f>
        <v>-1.24</v>
      </c>
      <c r="Q256" s="69" t="n">
        <f aca="false">IF(Q$5="A",-Inputs_Actuals!Q203,-Assumptions!$F$170*(Assumptions!$C$124*P221+Assumptions!$C$125*(P209+P197+P185)))</f>
        <v>-3.22</v>
      </c>
      <c r="R256" s="69" t="n">
        <f aca="false">IF(R$5="A",-Inputs_Actuals!R203,-Assumptions!$F$170*(Assumptions!$C$124*Q222+Assumptions!$C$125*(Q210+Q198+Q186)))</f>
        <v>-1.42</v>
      </c>
      <c r="S256" s="69" t="n">
        <f aca="false">IF(S$5="A",-Inputs_Actuals!S203,-Assumptions!$F$170*(Assumptions!$C$124*R223+Assumptions!$C$125*(R211+R199+R187)))</f>
        <v>-2.16</v>
      </c>
      <c r="T256" s="69" t="n">
        <f aca="false">IF(T$5="A",-Inputs_Actuals!T203,-Assumptions!$F$170*(Assumptions!$C$124*S224+Assumptions!$C$125*(S212+S200+S188)))</f>
        <v>-2.1</v>
      </c>
      <c r="U256" s="69" t="n">
        <f aca="false">IF(U$5="A",-Inputs_Actuals!U203,-Assumptions!$F$170*(Assumptions!$C$124*T225+Assumptions!$C$125*(T213+T201+T189)))</f>
        <v>-1.64</v>
      </c>
      <c r="V256" s="69" t="n">
        <f aca="false">IF(V$5="A",-Inputs_Actuals!V203,-Assumptions!$F$170*(Assumptions!$C$124*U226+Assumptions!$C$125*(U214+U202+U190)))</f>
        <v>-1.52</v>
      </c>
      <c r="W256" s="69" t="n">
        <f aca="false">IF(W$5="A",-Inputs_Actuals!W203,-Assumptions!$F$170*(Assumptions!$C$124*V227+Assumptions!$C$125*(V215+V203+V191)))</f>
        <v>-2.02</v>
      </c>
      <c r="X256" s="69" t="n">
        <f aca="false">IF(X$5="A",-Inputs_Actuals!X203,-Assumptions!$F$170*(Assumptions!$C$124*W228+Assumptions!$C$125*(W216+W204+W192)))</f>
        <v>-1.5</v>
      </c>
      <c r="Y256" s="69" t="n">
        <f aca="false">IF(Y$5="A",-Inputs_Actuals!Y203,-Assumptions!$F$170*(Assumptions!$C$124*X229+Assumptions!$C$125*(X217+X205+X193)))</f>
        <v>-1.7937558</v>
      </c>
      <c r="Z256" s="69" t="n">
        <f aca="false">IF(Z$5="A",-Inputs_Actuals!Z203,-Assumptions!$F$170*(Assumptions!$C$124*Y230+Assumptions!$C$125*(Y218+Y206+Y194)))</f>
        <v>-1.6434972</v>
      </c>
      <c r="AA256" s="69" t="n">
        <f aca="false">IF(AA$5="A",-Inputs_Actuals!AA203,-Assumptions!$F$170*(Assumptions!$C$124*Z231+Assumptions!$C$125*(Z219+Z207+Z195)))</f>
        <v>-1.7991068</v>
      </c>
      <c r="AB256" s="69" t="n">
        <f aca="false">IF(AB$5="A",-Inputs_Actuals!AB203,-Assumptions!$F$170*(Assumptions!$C$124*AA232+Assumptions!$C$125*(AA220+AA208+AA196)))</f>
        <v>-1.5085398</v>
      </c>
    </row>
    <row r="257" customFormat="false" ht="15" hidden="false" customHeight="false" outlineLevel="0" collapsed="false">
      <c r="A257" s="28" t="s">
        <v>934</v>
      </c>
      <c r="B257" s="63"/>
      <c r="C257" s="68" t="n">
        <f aca="false">SUM(E257:P257)</f>
        <v>0</v>
      </c>
      <c r="D257" s="68" t="n">
        <f aca="false">SUM(Q257:AB257)</f>
        <v>0</v>
      </c>
      <c r="E257" s="69" t="n">
        <f aca="false">ROUND(SUM(History!$F$73:$F$108)+E255+E256-E245,4)</f>
        <v>0</v>
      </c>
      <c r="F257" s="80" t="n">
        <f aca="false">ROUND(E245+F255+F256-F245,4)</f>
        <v>0</v>
      </c>
      <c r="G257" s="80" t="n">
        <f aca="false">ROUND(F245+G255+G256-G245,4)</f>
        <v>0</v>
      </c>
      <c r="H257" s="80" t="n">
        <f aca="false">ROUND(G245+H255+H256-H245,4)</f>
        <v>0</v>
      </c>
      <c r="I257" s="80" t="n">
        <f aca="false">ROUND(H245+I255+I256-I245,4)</f>
        <v>0</v>
      </c>
      <c r="J257" s="80" t="n">
        <f aca="false">ROUND(I245+J255+J256-J245,4)</f>
        <v>0</v>
      </c>
      <c r="K257" s="80" t="n">
        <f aca="false">ROUND(J245+K255+K256-K245,4)</f>
        <v>0</v>
      </c>
      <c r="L257" s="80" t="n">
        <f aca="false">ROUND(K245+L255+L256-L245,4)</f>
        <v>0</v>
      </c>
      <c r="M257" s="80" t="n">
        <f aca="false">ROUND(L245+M255+M256-M245,4)</f>
        <v>0</v>
      </c>
      <c r="N257" s="80" t="n">
        <f aca="false">ROUND(M245+N255+N256-N245,4)</f>
        <v>0</v>
      </c>
      <c r="O257" s="80" t="n">
        <f aca="false">ROUND(N245+O255+O256-O245,4)</f>
        <v>0</v>
      </c>
      <c r="P257" s="80" t="n">
        <f aca="false">ROUND(O245+P255+P256-P245,4)</f>
        <v>0</v>
      </c>
      <c r="Q257" s="80" t="n">
        <f aca="false">ROUND(P245+Q255+Q256-Q245,4)</f>
        <v>0</v>
      </c>
      <c r="R257" s="80" t="n">
        <f aca="false">ROUND(Q245+R255+R256-R245,4)</f>
        <v>0</v>
      </c>
      <c r="S257" s="80" t="n">
        <f aca="false">ROUND(R245+S255+S256-S245,4)</f>
        <v>0</v>
      </c>
      <c r="T257" s="80" t="n">
        <f aca="false">ROUND(S245+T255+T256-T245,4)</f>
        <v>0</v>
      </c>
      <c r="U257" s="80" t="n">
        <f aca="false">ROUND(T245+U255+U256-U245,4)</f>
        <v>0</v>
      </c>
      <c r="V257" s="80" t="n">
        <f aca="false">ROUND(U245+V255+V256-V245,4)</f>
        <v>0</v>
      </c>
      <c r="W257" s="80" t="n">
        <f aca="false">ROUND(V245+W255+W256-W245,4)</f>
        <v>0</v>
      </c>
      <c r="X257" s="80" t="n">
        <f aca="false">ROUND(W245+X255+X256-X245,4)</f>
        <v>0</v>
      </c>
      <c r="Y257" s="80" t="n">
        <f aca="false">ROUND(X245+Y255+Y256-Y245,4)</f>
        <v>0</v>
      </c>
      <c r="Z257" s="80" t="n">
        <f aca="false">ROUND(Y245+Z255+Z256-Z245,4)</f>
        <v>0</v>
      </c>
      <c r="AA257" s="80" t="n">
        <f aca="false">ROUND(Z245+AA255+AA256-AA245,4)</f>
        <v>0</v>
      </c>
      <c r="AB257" s="80" t="n">
        <f aca="false">ROUND(AA245+AB255+AB256-AB245,4)</f>
        <v>0</v>
      </c>
    </row>
    <row r="258" customFormat="false" ht="15" hidden="false" customHeight="false" outlineLevel="0" collapsed="false">
      <c r="A258" s="22" t="s">
        <v>958</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row>
    <row r="259" customFormat="false" ht="15" hidden="false" customHeight="false" outlineLevel="0" collapsed="false">
      <c r="A259" s="59" t="s">
        <v>959</v>
      </c>
      <c r="B259" s="60" t="s">
        <v>960</v>
      </c>
      <c r="C259" s="61" t="n">
        <f aca="false">SUM(E259:P259)</f>
        <v>2459896.09576636</v>
      </c>
      <c r="D259" s="61" t="n">
        <f aca="false">SUM(Q259:AB259)</f>
        <v>3119961.5307789</v>
      </c>
      <c r="E259" s="62" t="n">
        <f aca="false">12*E123+(E124-History!$E$74)*1+(E125-History!$E$75)*2+(E126-History!$E$76)*3+(E127-History!$E$77)*4+(E128-History!$E$78)*5+(E129-History!$E$79)*6+(E130-History!$E$80)*7+(E131-History!$E$81)*8+(E132-History!$E$82)*9+(E133-History!$E$83)*10+(E134-History!$E$84)*11+12*E135+(E136-History!$E$86)*1+(E137-History!$E$87)*2+(E138-History!$E$88)*3+(E139-History!$E$89)*4+(E140-History!$E$90)*5+(E141-History!$E$91)*6+(E142-History!$E$92)*7+(E143-History!$E$93)*8+(E144-History!$E$94)*9+(E145-History!$E$95)*10+(E146-History!$E$96)*11+12*E147+(E148-History!$E$98)*1+(E149-History!$E$99)*2+(E150-History!$E$100)*3+(E151-History!$E$101)*4+(E152-History!$E$102)*5+(E153-History!$E$103)*6+(E154-History!$E$104)*7+(E155-History!$E$105)*8+(E156-History!$E$106)*9+(E157-History!$E$107)*10+(E158-History!$E$108)*11+12*E159</f>
        <v>342377.37</v>
      </c>
      <c r="F259" s="61" t="n">
        <f aca="false">(F123-E123)*11+12*F124+(F125-E125)*1+(F126-E126)*2+(F127-E127)*3+(F128-E128)*4+(F129-E129)*5+(F130-E130)*6+(F131-E131)*7+(F132-E132)*8+(F133-E133)*9+(F134-E134)*10+(F135-E135)*11+12*F136+(F137-E137)*1+(F138-E138)*2+(F139-E139)*3+(F140-E140)*4+(F141-E141)*5+(F142-E142)*6+(F143-E143)*7+(F144-E144)*8+(F145-E145)*9+(F146-E146)*10+(F147-E147)*11+12*F148+(F149-E149)*1+(F150-E150)*2+(F151-E151)*3+(F152-E152)*4+(F153-E153)*5+(F154-E154)*6+(F155-E155)*7+(F156-E156)*8+(F157-E157)*9+(F158-E158)*10+(F159-E159)*11+12*F160</f>
        <v>153826.95</v>
      </c>
      <c r="G259" s="61" t="n">
        <f aca="false">(G123-F123)*10+(G124-F124)*11+12*G125+(G126-F126)*1+(G127-F127)*2+(G128-F128)*3+(G129-F129)*4+(G130-F130)*5+(G131-F131)*6+(G132-F132)*7+(G133-F133)*8+(G134-F134)*9+(G135-F135)*10+(G136-F136)*11+12*G137+(G138-F138)*1+(G139-F139)*2+(G140-F140)*3+(G141-F141)*4+(G142-F142)*5+(G143-F143)*6+(G144-F144)*7+(G145-F145)*8+(G146-F146)*9+(G147-F147)*10+(G148-F148)*11+12*G149+(G150-F150)*1+(G151-F151)*2+(G152-F152)*3+(G153-F153)*4+(G154-F154)*5+(G155-F155)*6+(G156-F156)*7+(G157-F157)*8+(G158-F158)*9+(G159-F159)*10+(G160-F160)*11+12*G161</f>
        <v>222724.66</v>
      </c>
      <c r="H259" s="61" t="n">
        <f aca="false">(H123-G123)*9+(H124-G124)*10+(H125-G125)*11+12*H126+(H127-G127)*1+(H128-G128)*2+(H129-G129)*3+(H130-G130)*4+(H131-G131)*5+(H132-G132)*6+(H133-G133)*7+(H134-G134)*8+(H135-G135)*9+(H136-G136)*10+(H137-G137)*11+12*H138+(H139-G139)*1+(H140-G140)*2+(H141-G141)*3+(H142-G142)*4+(H143-G143)*5+(H144-G144)*6+(H145-G145)*7+(H146-G146)*8+(H147-G147)*9+(H148-G148)*10+(H149-G149)*11+12*H150+(H151-G151)*1+(H152-G152)*2+(H153-G153)*3+(H154-G154)*4+(H155-G155)*5+(H156-G156)*6+(H157-G157)*7+(H158-G158)*8+(H159-G159)*9+(H160-G160)*10+(H161-G161)*11+12*H162</f>
        <v>224484.73</v>
      </c>
      <c r="I259" s="61" t="n">
        <f aca="false">(I123-H123)*8+(I124-H124)*9+(I125-H125)*10+(I126-H126)*11+12*I127+(I128-H128)*1+(I129-H129)*2+(I130-H130)*3+(I131-H131)*4+(I132-H132)*5+(I133-H133)*6+(I134-H134)*7+(I135-H135)*8+(I136-H136)*9+(I137-H137)*10+(I138-H138)*11+12*I139+(I140-H140)*1+(I141-H141)*2+(I142-H142)*3+(I143-H143)*4+(I144-H144)*5+(I145-H145)*6+(I146-H146)*7+(I147-H147)*8+(I148-H148)*9+(I149-H149)*10+(I150-H150)*11+12*I151+(I152-H152)*1+(I153-H153)*2+(I154-H154)*3+(I155-H155)*4+(I156-H156)*5+(I157-H157)*6+(I158-H158)*7+(I159-H159)*8+(I160-H160)*9+(I161-H161)*10+(I162-H162)*11+12*I163</f>
        <v>198878.25</v>
      </c>
      <c r="J259" s="61" t="n">
        <f aca="false">(J123-I123)*7+(J124-I124)*8+(J125-I125)*9+(J126-I126)*10+(J127-I127)*11+12*J128+(J129-I129)*1+(J130-I130)*2+(J131-I131)*3+(J132-I132)*4+(J133-I133)*5+(J134-I134)*6+(J135-I135)*7+(J136-I136)*8+(J137-I137)*9+(J138-I138)*10+(J139-I139)*11+12*J140+(J141-I141)*1+(J142-I142)*2+(J143-I143)*3+(J144-I144)*4+(J145-I145)*5+(J146-I146)*6+(J147-I147)*7+(J148-I148)*8+(J149-I149)*9+(J150-I150)*10+(J151-I151)*11+12*J152+(J153-I153)*1+(J154-I154)*2+(J155-I155)*3+(J156-I156)*4+(J157-I157)*5+(J158-I158)*6+(J159-I159)*7+(J160-I160)*8+(J161-I161)*9+(J162-I162)*10+(J163-I163)*11+12*J164</f>
        <v>173224.19</v>
      </c>
      <c r="K259" s="61" t="n">
        <f aca="false">(K123-J123)*6+(K124-J124)*7+(K125-J125)*8+(K126-J126)*9+(K127-J127)*10+(K128-J128)*11+12*K129+(K130-J130)*1+(K131-J131)*2+(K132-J132)*3+(K133-J133)*4+(K134-J134)*5+(K135-J135)*6+(K136-J136)*7+(K137-J137)*8+(K138-J138)*9+(K139-J139)*10+(K140-J140)*11+12*K141+(K142-J142)*1+(K143-J143)*2+(K144-J144)*3+(K145-J145)*4+(K146-J146)*5+(K147-J147)*6+(K148-J148)*7+(K149-J149)*8+(K150-J150)*9+(K151-J151)*10+(K152-J152)*11+12*K153+(K154-J154)*1+(K155-J155)*2+(K156-J156)*3+(K157-J157)*4+(K158-J158)*5+(K159-J159)*6+(K160-J160)*7+(K161-J161)*8+(K162-J162)*9+(K163-J163)*10+(K164-J164)*11+12*K165</f>
        <v>242642.64</v>
      </c>
      <c r="L259" s="61" t="n">
        <f aca="false">(L123-K123)*5+(L124-K124)*6+(L125-K125)*7+(L126-K126)*8+(L127-K127)*9+(L128-K128)*10+(L129-K129)*11+12*L130+(L131-K131)*1+(L132-K132)*2+(L133-K133)*3+(L134-K134)*4+(L135-K135)*5+(L136-K136)*6+(L137-K137)*7+(L138-K138)*8+(L139-K139)*9+(L140-K140)*10+(L141-K141)*11+12*L142+(L143-K143)*1+(L144-K144)*2+(L145-K145)*3+(L146-K146)*4+(L147-K147)*5+(L148-K148)*6+(L149-K149)*7+(L150-K150)*8+(L151-K151)*9+(L152-K152)*10+(L153-K153)*11+12*L154+(L155-K155)*1+(L156-K156)*2+(L157-K157)*3+(L158-K158)*4+(L159-K159)*5+(L160-K160)*6+(L161-K161)*7+(L162-K162)*8+(L163-K163)*9+(L164-K164)*10+(L165-K165)*11+12*L166</f>
        <v>155835.94</v>
      </c>
      <c r="M259" s="61" t="n">
        <f aca="false">(M123-L123)*4+(M124-L124)*5+(M125-L125)*6+(M126-L126)*7+(M127-L127)*8+(M128-L128)*9+(M129-L129)*10+(M130-L130)*11+12*M131+(M132-L132)*1+(M133-L133)*2+(M134-L134)*3+(M135-L135)*4+(M136-L136)*5+(M137-L137)*6+(M138-L138)*7+(M139-L139)*8+(M140-L140)*9+(M141-L141)*10+(M142-L142)*11+12*M143+(M144-L144)*1+(M145-L145)*2+(M146-L146)*3+(M147-L147)*4+(M148-L148)*5+(M149-L149)*6+(M150-L150)*7+(M151-L151)*8+(M152-L152)*9+(M153-L153)*10+(M154-L154)*11+12*M155+(M156-L156)*1+(M157-L157)*2+(M158-L158)*3+(M159-L159)*4+(M160-L160)*5+(M161-L161)*6+(M162-L162)*7+(M163-L163)*8+(M164-L164)*9+(M165-L165)*10+(M166-L166)*11+12*M167</f>
        <v>201470.37473536</v>
      </c>
      <c r="N259" s="61" t="n">
        <f aca="false">(N123-M123)*3+(N124-M124)*4+(N125-M125)*5+(N126-M126)*6+(N127-M127)*7+(N128-M128)*8+(N129-M129)*9+(N130-M130)*10+(N131-M131)*11+12*N132+(N133-M133)*1+(N134-M134)*2+(N135-M135)*3+(N136-M136)*4+(N137-M137)*5+(N138-M138)*6+(N139-M139)*7+(N140-M140)*8+(N141-M141)*9+(N142-M142)*10+(N143-M143)*11+12*N144+(N145-M145)*1+(N146-M146)*2+(N147-M147)*3+(N148-M148)*4+(N149-M149)*5+(N150-M150)*6+(N151-M151)*7+(N152-M152)*8+(N153-M153)*9+(N154-M154)*10+(N155-M155)*11+12*N156+(N157-M157)*1+(N158-M158)*2+(N159-M159)*3+(N160-M160)*4+(N161-M161)*5+(N162-M162)*6+(N163-M163)*7+(N164-M164)*8+(N165-M165)*9+(N166-M166)*10+(N167-M167)*11+12*N168</f>
        <v>181485.750112756</v>
      </c>
      <c r="O259" s="61" t="n">
        <f aca="false">(O123-N123)*2+(O124-N124)*3+(O125-N125)*4+(O126-N126)*5+(O127-N127)*6+(O128-N128)*7+(O129-N129)*8+(O130-N130)*9+(O131-N131)*10+(O132-N132)*11+12*O133+(O134-N134)*1+(O135-N135)*2+(O136-N136)*3+(O137-N137)*4+(O138-N138)*5+(O139-N139)*6+(O140-N140)*7+(O141-N141)*8+(O142-N142)*9+(O143-N143)*10+(O144-N144)*11+12*O145+(O146-N146)*1+(O147-N147)*2+(O148-N148)*3+(O149-N149)*4+(O150-N150)*5+(O151-N151)*6+(O152-N152)*7+(O153-N153)*8+(O154-N154)*9+(O155-N155)*10+(O156-N156)*11+12*O157+(O158-N158)*1+(O159-N159)*2+(O160-N160)*3+(O161-N161)*4+(O162-N162)*5+(O163-N163)*6+(O164-N164)*7+(O165-N165)*8+(O166-N166)*9+(O167-N167)*10+(O168-N168)*11+12*O169</f>
        <v>195217.984046351</v>
      </c>
      <c r="P259" s="61" t="n">
        <f aca="false">(P123-O123)*1+(P124-O124)*2+(P125-O125)*3+(P126-O126)*4+(P127-O127)*5+(P128-O128)*6+(P129-O129)*7+(P130-O130)*8+(P131-O131)*9+(P132-O132)*10+(P133-O133)*11+12*P134+(P135-O135)*1+(P136-O136)*2+(P137-O137)*3+(P138-O138)*4+(P139-O139)*5+(P140-O140)*6+(P141-O141)*7+(P142-O142)*8+(P143-O143)*9+(P144-O144)*10+(P145-O145)*11+12*P146+(P147-O147)*1+(P148-O148)*2+(P149-O149)*3+(P150-O150)*4+(P151-O151)*5+(P152-O152)*6+(P153-O153)*7+(P154-O154)*8+(P155-O155)*9+(P156-O156)*10+(P157-O157)*11+12*P158+(P159-O159)*1+(P160-O160)*2+(P161-O161)*3+(P162-O162)*4+(P163-O163)*5+(P164-O164)*6+(P165-O165)*7+(P166-O166)*8+(P167-O167)*9+(P168-O168)*10+(P169-O169)*11+12*P170</f>
        <v>167727.256871894</v>
      </c>
      <c r="Q259" s="61" t="n">
        <f aca="false">12*Q123+(Q124-P124)*1+(Q125-P125)*2+(Q126-P126)*3+(Q127-P127)*4+(Q128-P128)*5+(Q129-P129)*6+(Q130-P130)*7+(Q131-P131)*8+(Q132-P132)*9+(Q133-P133)*10+(Q134-P134)*11+12*Q135+(Q136-P136)*1+(Q137-P137)*2+(Q138-P138)*3+(Q139-P139)*4+(Q140-P140)*5+(Q141-P141)*6+(Q142-P142)*7+(Q143-P143)*8+(Q144-P144)*9+(Q145-P145)*10+(Q146-P146)*11+12*Q147+(Q148-P148)*1+(Q149-P149)*2+(Q150-P150)*3+(Q151-P151)*4+(Q152-P152)*5+(Q153-P153)*6+(Q154-P154)*7+(Q155-P155)*8+(Q156-P156)*9+(Q157-P157)*10+(Q158-P158)*11+12*Q159+(Q160-P160)*1+(Q161-P161)*2+(Q162-P162)*3+(Q163-P163)*4+(Q164-P164)*5+(Q165-P165)*6+(Q166-P166)*7+(Q167-P167)*8+(Q168-P168)*9+(Q169-P169)*10+(Q170-P170)*11+12*Q171</f>
        <v>411436.912559246</v>
      </c>
      <c r="R259" s="61" t="n">
        <f aca="false">(R123-Q123)*11+12*R124+(R125-Q125)*1+(R126-Q126)*2+(R127-Q127)*3+(R128-Q128)*4+(R129-Q129)*5+(R130-Q130)*6+(R131-Q131)*7+(R132-Q132)*8+(R133-Q133)*9+(R134-Q134)*10+(R135-Q135)*11+12*R136+(R137-Q137)*1+(R138-Q138)*2+(R139-Q139)*3+(R140-Q140)*4+(R141-Q141)*5+(R142-Q142)*6+(R143-Q143)*7+(R144-Q144)*8+(R145-Q145)*9+(R146-Q146)*10+(R147-Q147)*11+12*R148+(R149-Q149)*1+(R150-Q150)*2+(R151-Q151)*3+(R152-Q152)*4+(R153-Q153)*5+(R154-Q154)*6+(R155-Q155)*7+(R156-Q156)*8+(R157-Q157)*9+(R158-Q158)*10+(R159-Q159)*11+12*R160+(R161-Q161)*1+(R162-Q162)*2+(R163-Q163)*3+(R164-Q164)*4+(R165-Q165)*5+(R166-Q166)*6+(R167-Q167)*7+(R168-Q168)*8+(R169-Q169)*9+(R170-Q170)*10+(R171-Q171)*11+12*R172</f>
        <v>213200.510397167</v>
      </c>
      <c r="S259" s="61" t="n">
        <f aca="false">(S123-R123)*10+(S124-R124)*11+12*S125+(S126-R126)*1+(S127-R127)*2+(S128-R128)*3+(S129-R129)*4+(S130-R130)*5+(S131-R131)*6+(S132-R132)*7+(S133-R133)*8+(S134-R134)*9+(S135-R135)*10+(S136-R136)*11+12*S137+(S138-R138)*1+(S139-R139)*2+(S140-R140)*3+(S141-R141)*4+(S142-R142)*5+(S143-R143)*6+(S144-R144)*7+(S145-R145)*8+(S146-R146)*9+(S147-R147)*10+(S148-R148)*11+12*S149+(S150-R150)*1+(S151-R151)*2+(S152-R152)*3+(S153-R153)*4+(S154-R154)*5+(S155-R155)*6+(S156-R156)*7+(S157-R157)*8+(S158-R158)*9+(S159-R159)*10+(S160-R160)*11+12*S161+(S162-R162)*1+(S163-R163)*2+(S164-R164)*3+(S165-R165)*4+(S166-R166)*5+(S167-R167)*6+(S168-R168)*7+(S169-R169)*8+(S170-R170)*9+(S171-R171)*10+(S172-R172)*11+12*S173</f>
        <v>278272.375691183</v>
      </c>
      <c r="T259" s="61" t="n">
        <f aca="false">(T123-S123)*9+(T124-S124)*10+(T125-S125)*11+12*T126+(T127-S127)*1+(T128-S128)*2+(T129-S129)*3+(T130-S130)*4+(T131-S131)*5+(T132-S132)*6+(T133-S133)*7+(T134-S134)*8+(T135-S135)*9+(T136-S136)*10+(T137-S137)*11+12*T138+(T139-S139)*1+(T140-S140)*2+(T141-S141)*3+(T142-S142)*4+(T143-S143)*5+(T144-S144)*6+(T145-S145)*7+(T146-S146)*8+(T147-S147)*9+(T148-S148)*10+(T149-S149)*11+12*T150+(T151-S151)*1+(T152-S152)*2+(T153-S153)*3+(T154-S154)*4+(T155-S155)*5+(T156-S156)*6+(T157-S157)*7+(T158-S158)*8+(T159-S159)*9+(T160-S160)*10+(T161-S161)*11+12*T162+(T163-S163)*1+(T164-S164)*2+(T165-S165)*3+(T166-S166)*4+(T167-S167)*5+(T168-S168)*6+(T169-S169)*7+(T170-S170)*8+(T171-S171)*9+(T172-S172)*10+(T173-S173)*11+12*T174</f>
        <v>281160.036439458</v>
      </c>
      <c r="U259" s="61" t="n">
        <f aca="false">(U123-T123)*8+(U124-T124)*9+(U125-T125)*10+(U126-T126)*11+12*U127+(U128-T128)*1+(U129-T129)*2+(U130-T130)*3+(U131-T131)*4+(U132-T132)*5+(U133-T133)*6+(U134-T134)*7+(U135-T135)*8+(U136-T136)*9+(U137-T137)*10+(U138-T138)*11+12*U139+(U140-T140)*1+(U141-T141)*2+(U142-T142)*3+(U143-T143)*4+(U144-T144)*5+(U145-T145)*6+(U146-T146)*7+(U147-T147)*8+(U148-T148)*9+(U149-T149)*10+(U150-T150)*11+12*U151+(U152-T152)*1+(U153-T153)*2+(U154-T154)*3+(U155-T155)*4+(U156-T156)*5+(U157-T157)*6+(U158-T158)*7+(U159-T159)*8+(U160-T160)*9+(U161-T161)*10+(U162-T162)*11+12*U163+(U164-T164)*1+(U165-T165)*2+(U166-T166)*3+(U167-T167)*4+(U168-T168)*5+(U169-T169)*6+(U170-T170)*7+(U171-T171)*8+(U172-T172)*9+(U173-T173)*10+(U174-T174)*11+12*U175</f>
        <v>254962.905698488</v>
      </c>
      <c r="V259" s="61" t="n">
        <f aca="false">(V123-U123)*7+(V124-U124)*8+(V125-U125)*9+(V126-U126)*10+(V127-U127)*11+12*V128+(V129-U129)*1+(V130-U130)*2+(V131-U131)*3+(V132-U132)*4+(V133-U133)*5+(V134-U134)*6+(V135-U135)*7+(V136-U136)*8+(V137-U137)*9+(V138-U138)*10+(V139-U139)*11+12*V140+(V141-U141)*1+(V142-U142)*2+(V143-U143)*3+(V144-U144)*4+(V145-U145)*5+(V146-U146)*6+(V147-U147)*7+(V148-U148)*8+(V149-U149)*9+(V150-U150)*10+(V151-U151)*11+12*V152+(V153-U153)*1+(V154-U154)*2+(V155-U155)*3+(V156-U156)*4+(V157-U157)*5+(V158-U158)*6+(V159-U159)*7+(V160-U160)*8+(V161-U161)*9+(V162-U162)*10+(V163-U163)*11+12*V164+(V165-U165)*1+(V166-U166)*2+(V167-U167)*3+(V168-U168)*4+(V169-U169)*5+(V170-U170)*6+(V171-U171)*7+(V172-U172)*8+(V173-U173)*9+(V174-U174)*10+(V175-U175)*11+12*V176</f>
        <v>225114.087456831</v>
      </c>
      <c r="W259" s="61" t="n">
        <f aca="false">(W123-V123)*6+(W124-V124)*7+(W125-V125)*8+(W126-V126)*9+(W127-V127)*10+(W128-V128)*11+12*W129+(W130-V130)*1+(W131-V131)*2+(W132-V132)*3+(W133-V133)*4+(W134-V134)*5+(W135-V135)*6+(W136-V136)*7+(W137-V137)*8+(W138-V138)*9+(W139-V139)*10+(W140-V140)*11+12*W141+(W142-V142)*1+(W143-V143)*2+(W144-V144)*3+(W145-V145)*4+(W146-V146)*5+(W147-V147)*6+(W148-V148)*7+(W149-V149)*8+(W150-V150)*9+(W151-V151)*10+(W152-V152)*11+12*W153+(W154-V154)*1+(W155-V155)*2+(W156-V156)*3+(W157-V157)*4+(W158-V158)*5+(W159-V159)*6+(W160-V160)*7+(W161-V161)*8+(W162-V162)*9+(W163-V163)*10+(W164-V164)*11+12*W165+(W166-V166)*1+(W167-V167)*2+(W168-V168)*3+(W169-V169)*4+(W170-V170)*5+(W171-V171)*6+(W172-V172)*7+(W173-V173)*8+(W174-V174)*9+(W175-V175)*10+(W176-V176)*11+12*W177</f>
        <v>292369.043452779</v>
      </c>
      <c r="X259" s="61" t="n">
        <f aca="false">(X123-W123)*5+(X124-W124)*6+(X125-W125)*7+(X126-W126)*8+(X127-W127)*9+(X128-W128)*10+(X129-W129)*11+12*X130+(X131-W131)*1+(X132-W132)*2+(X133-W133)*3+(X134-W134)*4+(X135-W135)*5+(X136-W136)*6+(X137-W137)*7+(X138-W138)*8+(X139-W139)*9+(X140-W140)*10+(X141-W141)*11+12*X142+(X143-W143)*1+(X144-W144)*2+(X145-W145)*3+(X146-W146)*4+(X147-W147)*5+(X148-W148)*6+(X149-W149)*7+(X150-W150)*8+(X151-W151)*9+(X152-W152)*10+(X153-W153)*11+12*X154+(X155-W155)*1+(X156-W156)*2+(X157-W157)*3+(X158-W158)*4+(X159-W159)*5+(X160-W160)*6+(X161-W161)*7+(X162-W162)*8+(X163-W163)*9+(X164-W164)*10+(X165-W165)*11+12*X166+(X167-W167)*1+(X168-W168)*2+(X169-W169)*3+(X170-W170)*4+(X171-W171)*5+(X172-W172)*6+(X173-W173)*7+(X174-W174)*8+(X175-W175)*9+(X176-W176)*10+(X177-W177)*11+12*X178</f>
        <v>193383.452144259</v>
      </c>
      <c r="Y259" s="61" t="n">
        <f aca="false">(Y123-X123)*4+(Y124-X124)*5+(Y125-X125)*6+(Y126-X126)*7+(Y127-X127)*8+(Y128-X128)*9+(Y129-X129)*10+(Y130-X130)*11+12*Y131+(Y132-X132)*1+(Y133-X133)*2+(Y134-X134)*3+(Y135-X135)*4+(Y136-X136)*5+(Y137-X137)*6+(Y138-X138)*7+(Y139-X139)*8+(Y140-X140)*9+(Y141-X141)*10+(Y142-X142)*11+12*Y143+(Y144-X144)*1+(Y145-X145)*2+(Y146-X146)*3+(Y147-X147)*4+(Y148-X148)*5+(Y149-X149)*6+(Y150-X150)*7+(Y151-X151)*8+(Y152-X152)*9+(Y153-X153)*10+(Y154-X154)*11+12*Y155+(Y156-X156)*1+(Y157-X157)*2+(Y158-X158)*3+(Y159-X159)*4+(Y160-X160)*5+(Y161-X161)*6+(Y162-X162)*7+(Y163-X163)*8+(Y164-X164)*9+(Y165-X165)*10+(Y166-X166)*11+12*Y167+(Y168-X168)*1+(Y169-X169)*2+(Y170-X170)*3+(Y171-X171)*4+(Y172-X172)*5+(Y173-X173)*6+(Y174-X174)*7+(Y175-X175)*8+(Y176-X176)*9+(Y177-X177)*10+(Y178-X178)*11+12*Y179</f>
        <v>260986.813725346</v>
      </c>
      <c r="Z259" s="61" t="n">
        <f aca="false">(Z123-Y123)*3+(Z124-Y124)*4+(Z125-Y125)*5+(Z126-Y126)*6+(Z127-Y127)*7+(Z128-Y128)*8+(Z129-Y129)*9+(Z130-Y130)*10+(Z131-Y131)*11+12*Z132+(Z133-Y133)*1+(Z134-Y134)*2+(Z135-Y135)*3+(Z136-Y136)*4+(Z137-Y137)*5+(Z138-Y138)*6+(Z139-Y139)*7+(Z140-Y140)*8+(Z141-Y141)*9+(Z142-Y142)*10+(Z143-Y143)*11+12*Z144+(Z145-Y145)*1+(Z146-Y146)*2+(Z147-Y147)*3+(Z148-Y148)*4+(Z149-Y149)*5+(Z150-Y150)*6+(Z151-Y151)*7+(Z152-Y152)*8+(Z153-Y153)*9+(Z154-Y154)*10+(Z155-Y155)*11+12*Z156+(Z157-Y157)*1+(Z158-Y158)*2+(Z159-Y159)*3+(Z160-Y160)*4+(Z161-Y161)*5+(Z162-Y162)*6+(Z163-Y163)*7+(Z164-Y164)*8+(Z165-Y165)*9+(Z166-Y166)*10+(Z167-Y167)*11+12*Z168+(Z169-Y169)*1+(Z170-Y170)*2+(Z171-Y171)*3+(Z172-Y172)*4+(Z173-Y173)*5+(Z174-Y174)*6+(Z175-Y175)*7+(Z176-Y176)*8+(Z177-Y177)*9+(Z178-Y178)*10+(Z179-Y179)*11+12*Z180</f>
        <v>241966.897351727</v>
      </c>
      <c r="AA259" s="61" t="n">
        <f aca="false">(AA123-Z123)*2+(AA124-Z124)*3+(AA125-Z125)*4+(AA126-Z126)*5+(AA127-Z127)*6+(AA128-Z128)*7+(AA129-Z129)*8+(AA130-Z130)*9+(AA131-Z131)*10+(AA132-Z132)*11+12*AA133+(AA134-Z134)*1+(AA135-Z135)*2+(AA136-Z136)*3+(AA137-Z137)*4+(AA138-Z138)*5+(AA139-Z139)*6+(AA140-Z140)*7+(AA141-Z141)*8+(AA142-Z142)*9+(AA143-Z143)*10+(AA144-Z144)*11+12*AA145+(AA146-Z146)*1+(AA147-Z147)*2+(AA148-Z148)*3+(AA149-Z149)*4+(AA150-Z150)*5+(AA151-Z151)*6+(AA152-Z152)*7+(AA153-Z153)*8+(AA154-Z154)*9+(AA155-Z155)*10+(AA156-Z156)*11+12*AA157+(AA158-Z158)*1+(AA159-Z159)*2+(AA160-Z160)*3+(AA161-Z161)*4+(AA162-Z162)*5+(AA163-Z163)*6+(AA164-Z164)*7+(AA165-Z165)*8+(AA166-Z166)*9+(AA167-Z167)*10+(AA168-Z168)*11+12*AA169+(AA170-Z170)*1+(AA171-Z171)*2+(AA172-Z172)*3+(AA173-Z173)*4+(AA174-Z174)*5+(AA175-Z175)*6+(AA176-Z176)*7+(AA177-Z177)*8+(AA178-Z178)*9+(AA179-Z179)*10+(AA180-Z180)*11+12*AA181</f>
        <v>251784.397237201</v>
      </c>
      <c r="AB259" s="61" t="n">
        <f aca="false">(AB123-AA123)*1+(AB124-AA124)*2+(AB125-AA125)*3+(AB126-AA126)*4+(AB127-AA127)*5+(AB128-AA128)*6+(AB129-AA129)*7+(AB130-AA130)*8+(AB131-AA131)*9+(AB132-AA132)*10+(AB133-AA133)*11+12*AB134+(AB135-AA135)*1+(AB136-AA136)*2+(AB137-AA137)*3+(AB138-AA138)*4+(AB139-AA139)*5+(AB140-AA140)*6+(AB141-AA141)*7+(AB142-AA142)*8+(AB143-AA143)*9+(AB144-AA144)*10+(AB145-AA145)*11+12*AB146+(AB147-AA147)*1+(AB148-AA148)*2+(AB149-AA149)*3+(AB150-AA150)*4+(AB151-AA151)*5+(AB152-AA152)*6+(AB153-AA153)*7+(AB154-AA154)*8+(AB155-AA155)*9+(AB156-AA156)*10+(AB157-AA157)*11+12*AB158+(AB159-AA159)*1+(AB160-AA160)*2+(AB161-AA161)*3+(AB162-AA162)*4+(AB163-AA163)*5+(AB164-AA164)*6+(AB165-AA165)*7+(AB166-AA166)*8+(AB167-AA167)*9+(AB168-AA168)*10+(AB169-AA169)*11+12*AB170+(AB171-AA171)*1+(AB172-AA172)*2+(AB173-AA173)*3+(AB174-AA174)*4+(AB175-AA175)*5+(AB176-AA176)*6+(AB177-AA177)*7+(AB178-AA178)*8+(AB179-AA179)*9+(AB180-AA180)*10+(AB181-AA181)*11+12*AB182</f>
        <v>215324.098625217</v>
      </c>
    </row>
    <row r="260" customFormat="false" ht="15" hidden="false" customHeight="false" outlineLevel="0" collapsed="false">
      <c r="A260" s="28" t="s">
        <v>961</v>
      </c>
      <c r="B260" s="63" t="s">
        <v>856</v>
      </c>
      <c r="C260" s="64" t="n">
        <f aca="false">P260</f>
        <v>1030824.83857072</v>
      </c>
      <c r="D260" s="64" t="n">
        <f aca="false">AB260</f>
        <v>1318524.92539876</v>
      </c>
      <c r="E260" s="74" t="n">
        <f aca="false">E123*11+E125*1+E126*2+E127*3+E128*4+E129*5+E130*6+E131*7+E132*8+E133*9+E134*10+E135*11+E137*1+E138*2+E139*3+E140*4+E141*5+E142*6+E143*7+E144*8+E145*9+E146*10+E147*11+E149*1+E150*2+E151*3+E152*4+E153*5+E154*6+E155*7+E156*8+E157*9+E158*10+E159*11</f>
        <v>943591.93</v>
      </c>
      <c r="F260" s="74" t="n">
        <f aca="false">F123*10+F124*11+F126*1+F127*2+F128*3+F129*4+F130*5+F131*6+F132*7+F133*8+F134*9+F135*10+F136*11+F138*1+F139*2+F140*3+F141*4+F142*5+F143*6+F144*7+F145*8+F146*9+F147*10+F148*11+F150*1+F151*2+F152*3+F153*4+F154*5+F155*6+F156*7+F157*8+F158*9+F159*10+F160*11</f>
        <v>933197.01</v>
      </c>
      <c r="G260" s="74" t="n">
        <f aca="false">G123*9+G124*10+G125*11+G127*1+G128*2+G129*3+G130*4+G131*5+G132*6+G133*7+G134*8+G135*9+G136*10+G137*11+G139*1+G140*2+G141*3+G142*4+G143*5+G144*6+G145*7+G146*8+G147*9+G148*10+G149*11+G151*1+G152*2+G153*3+G154*4+G155*5+G156*6+G157*7+G158*8+G159*9+G160*10+G161*11</f>
        <v>987746.58</v>
      </c>
      <c r="H260" s="74" t="n">
        <f aca="false">H123*8+H124*9+H125*10+H126*11+H128*1+H129*2+H130*3+H131*4+H132*5+H133*6+H134*7+H135*8+H136*9+H137*10+H138*11+H140*1+H141*2+H142*3+H143*4+H144*5+H145*6+H146*7+H147*8+H148*9+H149*10+H150*11+H152*1+H153*2+H154*3+H155*4+H156*5+H157*6+H158*7+H159*8+H160*9+H161*10+H162*11</f>
        <v>1038624.01</v>
      </c>
      <c r="I260" s="74" t="n">
        <f aca="false">I123*7+I124*8+I125*9+I126*10+I127*11+I129*1+I130*2+I131*3+I132*4+I133*5+I134*6+I135*7+I136*8+I137*9+I138*10+I139*11+I141*1+I142*2+I143*3+I144*4+I145*5+I146*6+I147*7+I148*8+I149*9+I150*10+I151*11+I153*1+I154*2+I155*3+I156*4+I157*5+I158*6+I159*7+I160*8+I161*9+I162*10+I163*11</f>
        <v>1062764.4</v>
      </c>
      <c r="J260" s="74" t="n">
        <f aca="false">J123*6+J124*7+J125*8+J126*9+J127*10+J128*11+J130*1+J131*2+J132*3+J133*4+J134*5+J135*6+J136*7+J137*8+J138*9+J139*10+J140*11+J142*1+J143*2+J144*3+J145*4+J146*5+J147*6+J148*7+J149*8+J150*9+J151*10+J152*11+J154*1+J155*2+J156*3+J157*4+J158*5+J159*6+J160*7+J161*8+J162*9+J163*10+J164*11</f>
        <v>1056202.41</v>
      </c>
      <c r="K260" s="74" t="n">
        <f aca="false">K123*5+K124*6+K125*7+K126*8+K127*9+K128*10+K129*11+K131*1+K132*2+K133*3+K134*4+K135*5+K136*6+K137*7+K138*8+K139*9+K140*10+K141*11+K143*1+K144*2+K145*3+K146*4+K147*5+K148*6+K149*7+K150*8+K151*9+K152*10+K153*11+K155*1+K156*2+K157*3+K158*4+K159*5+K160*6+K161*7+K162*8+K163*9+K164*10+K165*11</f>
        <v>1114981.09</v>
      </c>
      <c r="L260" s="74" t="n">
        <f aca="false">L123*4+L124*5+L125*6+L126*7+L127*8+L128*9+L129*10+L130*11+L132*1+L133*2+L134*3+L135*4+L136*5+L137*6+L138*7+L139*8+L140*9+L141*10+L142*11+L144*1+L145*2+L146*3+L147*4+L148*5+L149*6+L150*7+L151*8+L152*9+L153*10+L154*11+L156*1+L157*2+L158*3+L159*4+L160*5+L161*6+L162*7+L163*8+L164*9+L165*10+L166*11</f>
        <v>1083448.12</v>
      </c>
      <c r="M260" s="74" t="n">
        <f aca="false">M123*3+M124*4+M125*5+M126*6+M127*7+M128*8+M129*9+M130*10+M131*11+M133*1+M134*2+M135*3+M136*4+M137*5+M138*6+M139*7+M140*8+M141*9+M142*10+M143*11+M145*1+M146*2+M147*3+M148*4+M149*5+M150*6+M151*7+M152*8+M153*9+M154*10+M155*11+M157*1+M158*2+M159*3+M160*4+M161*5+M162*6+M163*7+M164*8+M165*9+M166*10+M167*11</f>
        <v>1092481.71354408</v>
      </c>
      <c r="N260" s="74" t="n">
        <f aca="false">N123*2+N124*3+N125*4+N126*5+N127*6+N128*7+N129*8+N130*9+N131*10+N132*11+N134*1+N135*2+N136*3+N137*4+N138*5+N139*6+N140*7+N141*8+N142*9+N143*10+N144*11+N146*1+N147*2+N148*3+N149*4+N150*5+N151*6+N152*7+N153*8+N154*9+N155*10+N156*11+N158*1+N159*2+N160*3+N161*4+N162*5+N163*6+N164*7+N165*8+N166*9+N167*10+N168*11</f>
        <v>1076234.02609907</v>
      </c>
      <c r="O260" s="74" t="n">
        <f aca="false">O123*1+O124*2+O125*3+O126*4+O127*5+O128*6+O129*7+O130*8+O131*9+O132*10+O133*11+O135*1+O136*2+O137*3+O138*4+O139*5+O140*6+O141*7+O142*8+O143*9+O144*10+O145*11+O147*1+O148*2+O149*3+O150*4+O151*5+O152*6+O153*7+O154*8+O155*9+O156*10+O157*11+O159*1+O160*2+O161*3+O162*4+O163*5+O164*6+O165*7+O166*8+O167*9+O168*10+O169*11</f>
        <v>1069266.59768644</v>
      </c>
      <c r="P260" s="74" t="n">
        <f aca="false">P124*1+P125*2+P126*3+P127*4+P128*5+P129*6+P130*7+P131*8+P132*9+P133*10+P134*11+P136*1+P137*2+P138*3+P139*4+P140*5+P141*6+P142*7+P143*8+P144*9+P145*10+P146*11+P148*1+P149*2+P150*3+P151*4+P152*5+P153*6+P154*7+P155*8+P156*9+P157*10+P158*11+P160*1+P161*2+P162*3+P163*4+P164*5+P165*6+P166*7+P167*8+P168*9+P169*10+P170*11</f>
        <v>1030824.83857072</v>
      </c>
      <c r="Q260" s="74" t="n">
        <f aca="false">Q123*11+Q125*1+Q126*2+Q127*3+Q128*4+Q129*5+Q130*6+Q131*7+Q132*8+Q133*9+Q134*10+Q135*11+Q137*1+Q138*2+Q139*3+Q140*4+Q141*5+Q142*6+Q143*7+Q144*8+Q145*9+Q146*10+Q147*11+Q149*1+Q150*2+Q151*3+Q152*4+Q153*5+Q154*6+Q155*7+Q156*8+Q157*9+Q158*10+Q159*11+Q161*1+Q162*2+Q163*3+Q164*4+Q165*5+Q166*6+Q167*7+Q168*8+Q169*9+Q170*10+Q171*11</f>
        <v>1231331.83599218</v>
      </c>
      <c r="R260" s="74" t="n">
        <f aca="false">R123*10+R124*11+R126*1+R127*2+R128*3+R129*4+R130*5+R131*6+R132*7+R133*8+R134*9+R135*10+R136*11+R138*1+R139*2+R140*3+R141*4+R142*5+R143*6+R144*7+R145*8+R146*9+R147*10+R148*11+R150*1+R151*2+R152*3+R153*4+R154*5+R155*6+R156*7+R157*8+R158*9+R159*10+R160*11+R162*1+R163*2+R164*3+R165*4+R166*5+R167*6+R168*7+R169*8+R170*9+R171*10+R172*11</f>
        <v>1228613.16106851</v>
      </c>
      <c r="S260" s="74" t="n">
        <f aca="false">S123*9+S124*10+S125*11+S127*1+S128*2+S129*3+S130*4+S131*5+S132*6+S133*7+S134*8+S135*9+S136*10+S137*11+S139*1+S140*2+S141*3+S142*4+S143*5+S144*6+S145*7+S146*8+S147*9+S148*10+S149*11+S151*1+S152*2+S153*3+S154*4+S155*5+S156*6+S157*7+S158*8+S159*9+S160*10+S161*11+S163*1+S164*2+S165*3+S166*4+S167*5+S168*6+S169*7+S170*8+S171*9+S172*10+S173*11</f>
        <v>1286487.38696759</v>
      </c>
      <c r="T260" s="74" t="n">
        <f aca="false">T123*8+T124*9+T125*10+T126*11+T128*1+T129*2+T130*3+T131*4+T132*5+T133*6+T134*7+T135*8+T136*9+T137*10+T138*11+T140*1+T141*2+T142*3+T143*4+T144*5+T145*6+T146*7+T147*8+T148*9+T149*10+T150*11+T152*1+T153*2+T154*3+T155*4+T156*5+T157*6+T158*7+T159*8+T160*9+T161*10+T162*11+T164*1+T165*2+T166*3+T167*4+T168*5+T169*6+T170*7+T171*8+T172*9+T173*10+T174*11</f>
        <v>1342725.77617924</v>
      </c>
      <c r="U260" s="74" t="n">
        <f aca="false">U123*7+U124*8+U125*9+U126*10+U127*11+U129*1+U130*2+U131*3+U132*4+U133*5+U134*6+U135*7+U136*8+U137*9+U138*10+U139*11+U141*1+U142*2+U143*3+U144*4+U145*5+U146*6+U147*7+U148*8+U149*9+U150*10+U151*11+U153*1+U154*2+U155*3+U156*4+U157*5+U158*6+U159*7+U160*8+U161*9+U162*10+U163*11+U165*1+U166*2+U167*3+U168*4+U169*5+U170*6+U171*7+U172*8+U173*9+U174*10+U175*11</f>
        <v>1368004.46583965</v>
      </c>
      <c r="V260" s="74" t="n">
        <f aca="false">V123*6+V124*7+V125*8+V126*9+V127*10+V128*11+V130*1+V131*2+V132*3+V133*4+V134*5+V135*6+V136*7+V137*8+V138*9+V139*10+V140*11+V142*1+V143*2+V144*3+V145*4+V146*5+V147*6+V148*7+V149*8+V150*9+V151*10+V152*11+V154*1+V155*2+V156*3+V157*4+V158*5+V159*6+V160*7+V161*8+V162*9+V163*10+V164*11+V166*1+V167*2+V168*3+V169*4+V170*5+V171*6+V172*7+V173*8+V174*9+V175*10+V176*11</f>
        <v>1358923.83854279</v>
      </c>
      <c r="W260" s="74" t="n">
        <f aca="false">W123*5+W124*6+W125*7+W126*8+W127*9+W128*10+W129*11+W131*1+W132*2+W133*3+W134*4+W135*5+W136*6+W137*7+W138*8+W139*9+W140*10+W141*11+W143*1+W144*2+W145*3+W146*4+W147*5+W148*6+W149*7+W150*8+W151*9+W152*10+W153*11+W155*1+W156*2+W157*3+W158*4+W159*5+W160*6+W161*7+W162*8+W163*9+W164*10+W165*11+W167*1+W168*2+W169*3+W170*4+W171*5+W172*6+W173*7+W174*8+W175*9+W176*10+W177*11</f>
        <v>1413114.52774719</v>
      </c>
      <c r="X260" s="74" t="n">
        <f aca="false">X123*4+X124*5+X125*6+X126*7+X127*8+X128*9+X129*10+X130*11+X132*1+X133*2+X134*3+X135*4+X136*5+X137*6+X138*7+X139*8+X140*9+X141*10+X142*11+X144*1+X145*2+X146*3+X147*4+X148*5+X149*6+X150*7+X151*8+X152*9+X153*10+X154*11+X156*1+X157*2+X158*3+X159*4+X160*5+X161*6+X162*7+X163*8+X164*9+X165*10+X166*11+X168*1+X169*2+X170*3+X171*4+X172*5+X173*6+X174*7+X175*8+X176*9+X177*10+X178*11</f>
        <v>1364915.75849352</v>
      </c>
      <c r="Y260" s="74" t="n">
        <f aca="false">Y123*3+Y124*4+Y125*5+Y126*6+Y127*7+Y128*8+Y129*9+Y130*10+Y131*11+Y133*1+Y134*2+Y135*3+Y136*4+Y137*5+Y138*6+Y139*7+Y140*8+Y141*9+Y142*10+Y143*11+Y145*1+Y146*2+Y147*3+Y148*4+Y149*5+Y150*6+Y151*7+Y152*8+Y153*9+Y154*10+Y155*11+Y157*1+Y158*2+Y159*3+Y160*4+Y161*5+Y162*6+Y163*7+Y164*8+Y165*9+Y166*10+Y167*11+Y169*1+Y170*2+Y171*3+Y172*4+Y173*5+Y174*6+Y175*7+Y176*8+Y177*9+Y178*10+Y179*11</f>
        <v>1379269.39611705</v>
      </c>
      <c r="Z260" s="74" t="n">
        <f aca="false">Z123*2+Z124*3+Z125*4+Z126*5+Z127*6+Z128*7+Z129*8+Z130*9+Z131*10+Z132*11+Z134*1+Z135*2+Z136*3+Z137*4+Z138*5+Z139*6+Z140*7+Z141*8+Z142*9+Z143*10+Z144*11+Z146*1+Z147*2+Z148*3+Z149*4+Z150*5+Z151*6+Z152*7+Z153*8+Z154*9+Z155*10+Z156*11+Z158*1+Z159*2+Z160*3+Z161*4+Z162*5+Z163*6+Z164*7+Z165*8+Z166*9+Z167*10+Z168*11+Z170*1+Z171*2+Z172*3+Z173*4+Z174*5+Z175*6+Z176*7+Z177*8+Z178*9+Z179*10+Z180*11</f>
        <v>1369332.84463008</v>
      </c>
      <c r="AA260" s="74" t="n">
        <f aca="false">AA123*1+AA124*2+AA125*3+AA126*4+AA127*5+AA128*6+AA129*7+AA130*8+AA131*9+AA132*10+AA133*11+AA135*1+AA136*2+AA137*3+AA138*4+AA139*5+AA140*6+AA141*7+AA142*8+AA143*9+AA144*10+AA145*11+AA147*1+AA148*2+AA149*3+AA150*4+AA151*5+AA152*6+AA153*7+AA154*8+AA155*9+AA156*10+AA157*11+AA159*1+AA160*2+AA161*3+AA162*4+AA163*5+AA164*6+AA165*7+AA166*8+AA167*9+AA168*10+AA169*11+AA171*1+AA172*2+AA173*3+AA174*4+AA175*5+AA176*6+AA177*7+AA178*8+AA179*9+AA180*10+AA181*11</f>
        <v>1364322.0152653</v>
      </c>
      <c r="AB260" s="74" t="n">
        <f aca="false">AB124*1+AB125*2+AB126*3+AB127*4+AB128*5+AB129*6+AB130*7+AB131*8+AB132*9+AB133*10+AB134*11+AB136*1+AB137*2+AB138*3+AB139*4+AB140*5+AB141*6+AB142*7+AB143*8+AB144*9+AB145*10+AB146*11+AB148*1+AB149*2+AB150*3+AB151*4+AB152*5+AB153*6+AB154*7+AB155*8+AB156*9+AB157*10+AB158*11+AB160*1+AB161*2+AB162*3+AB163*4+AB164*5+AB165*6+AB166*7+AB167*8+AB168*9+AB169*10+AB170*11+AB172*1+AB173*2+AB174*3+AB175*4+AB176*5+AB177*6+AB178*7+AB179*8+AB180*9+AB181*10+AB182*11</f>
        <v>1318524.92539876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1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962</v>
      </c>
    </row>
    <row r="3" customFormat="false" ht="15" hidden="false" customHeight="false" outlineLevel="0" collapsed="false">
      <c r="A3" s="50" t="s">
        <v>963</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964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965</v>
      </c>
      <c r="B9" s="63" t="s">
        <v>966</v>
      </c>
      <c r="C9" s="64" t="n">
        <f aca="false">P9</f>
        <v>14676.49</v>
      </c>
      <c r="D9" s="64" t="n">
        <f aca="false">AB9</f>
        <v>11904.46795125</v>
      </c>
      <c r="E9" s="65" t="n">
        <f aca="false">IF(E$5="A",Inputs_Actuals!E167,Account_Register!$H$7*Account_Register!$M$7*(1+Assumptions!E$200)*(1+Account_Register!$N$7*Assumptions!$F$171))</f>
        <v>14676.49</v>
      </c>
      <c r="F9" s="65" t="n">
        <f aca="false">IF(F$5="A",Inputs_Actuals!F167,E9)</f>
        <v>14676.49</v>
      </c>
      <c r="G9" s="65" t="n">
        <f aca="false">IF(G$5="A",Inputs_Actuals!G167,F9)</f>
        <v>14676.49</v>
      </c>
      <c r="H9" s="65" t="n">
        <f aca="false">IF(H$5="A",Inputs_Actuals!H167,G9)</f>
        <v>14676.49</v>
      </c>
      <c r="I9" s="65" t="n">
        <f aca="false">IF(I$5="A",Inputs_Actuals!I167,H9)</f>
        <v>14676.49</v>
      </c>
      <c r="J9" s="65" t="n">
        <f aca="false">IF(J$5="A",Inputs_Actuals!J167,I9)</f>
        <v>14676.49</v>
      </c>
      <c r="K9" s="65" t="n">
        <f aca="false">IF(K$5="A",Inputs_Actuals!K167,J9)</f>
        <v>14676.49</v>
      </c>
      <c r="L9" s="65" t="n">
        <f aca="false">IF(L$5="A",Inputs_Actuals!L167,K9)</f>
        <v>14676.49</v>
      </c>
      <c r="M9" s="65" t="n">
        <f aca="false">IF(M$5="A",Inputs_Actuals!M167,L9)</f>
        <v>14676.49</v>
      </c>
      <c r="N9" s="65" t="n">
        <f aca="false">IF(N$5="A",Inputs_Actuals!N167,M9)</f>
        <v>14676.49</v>
      </c>
      <c r="O9" s="65" t="n">
        <f aca="false">IF(O$5="A",Inputs_Actuals!O167,N9)</f>
        <v>14676.49</v>
      </c>
      <c r="P9" s="65" t="n">
        <f aca="false">IF(P$5="A",Inputs_Actuals!P167,O9)</f>
        <v>14676.49</v>
      </c>
      <c r="Q9" s="65" t="n">
        <f aca="false">IF(Q$5="A",Inputs_Actuals!Q167,P9*Account_Register!$M$7*(1+Assumptions!Q$200)*(1+Account_Register!$N$7*Assumptions!$F$171))</f>
        <v>11904.46795125</v>
      </c>
      <c r="R9" s="65" t="n">
        <f aca="false">IF(R$5="A",Inputs_Actuals!R167,Q9)</f>
        <v>11904.46795125</v>
      </c>
      <c r="S9" s="65" t="n">
        <f aca="false">IF(S$5="A",Inputs_Actuals!S167,R9)</f>
        <v>11904.46795125</v>
      </c>
      <c r="T9" s="65" t="n">
        <f aca="false">IF(T$5="A",Inputs_Actuals!T167,S9)</f>
        <v>11904.46795125</v>
      </c>
      <c r="U9" s="65" t="n">
        <f aca="false">IF(U$5="A",Inputs_Actuals!U167,T9)</f>
        <v>11904.46795125</v>
      </c>
      <c r="V9" s="65" t="n">
        <f aca="false">IF(V$5="A",Inputs_Actuals!V167,U9)</f>
        <v>11904.46795125</v>
      </c>
      <c r="W9" s="65" t="n">
        <f aca="false">IF(W$5="A",Inputs_Actuals!W167,V9)</f>
        <v>11904.46795125</v>
      </c>
      <c r="X9" s="65" t="n">
        <f aca="false">IF(X$5="A",Inputs_Actuals!X167,W9)</f>
        <v>11904.46795125</v>
      </c>
      <c r="Y9" s="65" t="n">
        <f aca="false">IF(Y$5="A",Inputs_Actuals!Y167,X9)</f>
        <v>11904.46795125</v>
      </c>
      <c r="Z9" s="65" t="n">
        <f aca="false">IF(Z$5="A",Inputs_Actuals!Z167,Y9)</f>
        <v>11904.46795125</v>
      </c>
      <c r="AA9" s="65" t="n">
        <f aca="false">IF(AA$5="A",Inputs_Actuals!AA167,Z9)</f>
        <v>11904.46795125</v>
      </c>
      <c r="AB9" s="65" t="n">
        <f aca="false">IF(AB$5="A",Inputs_Actuals!AB167,AA9)</f>
        <v>11904.46795125</v>
      </c>
    </row>
    <row r="10" customFormat="false" ht="15" hidden="false" customHeight="false" outlineLevel="0" collapsed="false">
      <c r="A10" s="28" t="s">
        <v>967</v>
      </c>
      <c r="B10" s="63" t="s">
        <v>966</v>
      </c>
      <c r="C10" s="64" t="n">
        <f aca="false">P10</f>
        <v>12598.67</v>
      </c>
      <c r="D10" s="64" t="n">
        <f aca="false">AB10</f>
        <v>12944.18852475</v>
      </c>
      <c r="E10" s="65" t="n">
        <f aca="false">IF(E$5="A",Inputs_Actuals!E168,Account_Register!$H$8)</f>
        <v>10942.22</v>
      </c>
      <c r="F10" s="65" t="n">
        <f aca="false">IF(F$5="A",Inputs_Actuals!F168,E10)</f>
        <v>10942.22</v>
      </c>
      <c r="G10" s="65" t="n">
        <f aca="false">IF(G$5="A",Inputs_Actuals!G168,F10*Account_Register!$M$8*(1+Assumptions!G$200)*(1+Account_Register!$N$8*Assumptions!$F$171))</f>
        <v>11998.67</v>
      </c>
      <c r="H10" s="65" t="n">
        <f aca="false">IF(H$5="A",Inputs_Actuals!H168,G10)</f>
        <v>11998.67</v>
      </c>
      <c r="I10" s="65" t="n">
        <f aca="false">IF(I$5="A",Inputs_Actuals!I168,H10)</f>
        <v>12598.67</v>
      </c>
      <c r="J10" s="65" t="n">
        <f aca="false">IF(J$5="A",Inputs_Actuals!J168,I10)</f>
        <v>12598.67</v>
      </c>
      <c r="K10" s="65" t="n">
        <f aca="false">IF(K$5="A",Inputs_Actuals!K168,J10)</f>
        <v>12598.67</v>
      </c>
      <c r="L10" s="65" t="n">
        <f aca="false">IF(L$5="A",Inputs_Actuals!L168,K10)</f>
        <v>12598.67</v>
      </c>
      <c r="M10" s="65" t="n">
        <f aca="false">IF(M$5="A",Inputs_Actuals!M168,L10)</f>
        <v>12598.67</v>
      </c>
      <c r="N10" s="65" t="n">
        <f aca="false">IF(N$5="A",Inputs_Actuals!N168,M10)</f>
        <v>12598.67</v>
      </c>
      <c r="O10" s="65" t="n">
        <f aca="false">IF(O$5="A",Inputs_Actuals!O168,N10)</f>
        <v>12598.67</v>
      </c>
      <c r="P10" s="65" t="n">
        <f aca="false">IF(P$5="A",Inputs_Actuals!P168,O10)</f>
        <v>12598.67</v>
      </c>
      <c r="Q10" s="65" t="n">
        <f aca="false">IF(Q$5="A",Inputs_Actuals!Q168,P10)</f>
        <v>12598.67</v>
      </c>
      <c r="R10" s="65" t="n">
        <f aca="false">IF(R$5="A",Inputs_Actuals!R168,Q10)</f>
        <v>12598.67</v>
      </c>
      <c r="S10" s="65" t="n">
        <f aca="false">IF(S$5="A",Inputs_Actuals!S168,R10*Account_Register!$M$8*(1+Assumptions!S$200)*(1+Account_Register!$N$8*Assumptions!$F$171))</f>
        <v>12944.18852475</v>
      </c>
      <c r="T10" s="65" t="n">
        <f aca="false">IF(T$5="A",Inputs_Actuals!T168,S10)</f>
        <v>12944.18852475</v>
      </c>
      <c r="U10" s="65" t="n">
        <f aca="false">IF(U$5="A",Inputs_Actuals!U168,T10)</f>
        <v>12944.18852475</v>
      </c>
      <c r="V10" s="65" t="n">
        <f aca="false">IF(V$5="A",Inputs_Actuals!V168,U10)</f>
        <v>12944.18852475</v>
      </c>
      <c r="W10" s="65" t="n">
        <f aca="false">IF(W$5="A",Inputs_Actuals!W168,V10)</f>
        <v>12944.18852475</v>
      </c>
      <c r="X10" s="65" t="n">
        <f aca="false">IF(X$5="A",Inputs_Actuals!X168,W10)</f>
        <v>12944.18852475</v>
      </c>
      <c r="Y10" s="65" t="n">
        <f aca="false">IF(Y$5="A",Inputs_Actuals!Y168,X10)</f>
        <v>12944.18852475</v>
      </c>
      <c r="Z10" s="65" t="n">
        <f aca="false">IF(Z$5="A",Inputs_Actuals!Z168,Y10)</f>
        <v>12944.18852475</v>
      </c>
      <c r="AA10" s="65" t="n">
        <f aca="false">IF(AA$5="A",Inputs_Actuals!AA168,Z10)</f>
        <v>12944.18852475</v>
      </c>
      <c r="AB10" s="65" t="n">
        <f aca="false">IF(AB$5="A",Inputs_Actuals!AB168,AA10)</f>
        <v>12944.18852475</v>
      </c>
    </row>
    <row r="11" customFormat="false" ht="15" hidden="false" customHeight="false" outlineLevel="0" collapsed="false">
      <c r="A11" s="28" t="s">
        <v>968</v>
      </c>
      <c r="B11" s="63" t="s">
        <v>966</v>
      </c>
      <c r="C11" s="64" t="n">
        <f aca="false">P11</f>
        <v>9552.85</v>
      </c>
      <c r="D11" s="64" t="n">
        <f aca="false">AB11</f>
        <v>9721.362274</v>
      </c>
      <c r="E11" s="65" t="n">
        <f aca="false">IF(E$5="A",Inputs_Actuals!E169,Account_Register!$H$9)</f>
        <v>9181.35</v>
      </c>
      <c r="F11" s="65" t="n">
        <f aca="false">IF(F$5="A",Inputs_Actuals!F169,E11)</f>
        <v>9181.35</v>
      </c>
      <c r="G11" s="65" t="n">
        <f aca="false">IF(G$5="A",Inputs_Actuals!G169,F11)</f>
        <v>9181.35</v>
      </c>
      <c r="H11" s="65" t="n">
        <f aca="false">IF(H$5="A",Inputs_Actuals!H169,G11)</f>
        <v>9181.35</v>
      </c>
      <c r="I11" s="65" t="n">
        <f aca="false">IF(I$5="A",Inputs_Actuals!I169,H11)</f>
        <v>9181.35</v>
      </c>
      <c r="J11" s="65" t="n">
        <f aca="false">IF(J$5="A",Inputs_Actuals!J169,I11*Account_Register!$M$9*(1+Assumptions!J$200)*(1+Account_Register!$N$9*Assumptions!$F$171))</f>
        <v>9552.85</v>
      </c>
      <c r="K11" s="65" t="n">
        <f aca="false">IF(K$5="A",Inputs_Actuals!K169,J11)</f>
        <v>9552.85</v>
      </c>
      <c r="L11" s="65" t="n">
        <f aca="false">IF(L$5="A",Inputs_Actuals!L169,K11)</f>
        <v>9552.85</v>
      </c>
      <c r="M11" s="65" t="n">
        <f aca="false">IF(M$5="A",Inputs_Actuals!M169,L11)</f>
        <v>9552.85</v>
      </c>
      <c r="N11" s="65" t="n">
        <f aca="false">IF(N$5="A",Inputs_Actuals!N169,M11)</f>
        <v>9552.85</v>
      </c>
      <c r="O11" s="65" t="n">
        <f aca="false">IF(O$5="A",Inputs_Actuals!O169,N11)</f>
        <v>9552.85</v>
      </c>
      <c r="P11" s="65" t="n">
        <f aca="false">IF(P$5="A",Inputs_Actuals!P169,O11)</f>
        <v>9552.85</v>
      </c>
      <c r="Q11" s="65" t="n">
        <f aca="false">IF(Q$5="A",Inputs_Actuals!Q169,P11)</f>
        <v>9552.85</v>
      </c>
      <c r="R11" s="65" t="n">
        <f aca="false">IF(R$5="A",Inputs_Actuals!R169,Q11)</f>
        <v>9552.85</v>
      </c>
      <c r="S11" s="65" t="n">
        <f aca="false">IF(S$5="A",Inputs_Actuals!S169,R11)</f>
        <v>9552.85</v>
      </c>
      <c r="T11" s="65" t="n">
        <f aca="false">IF(T$5="A",Inputs_Actuals!T169,S11)</f>
        <v>9552.85</v>
      </c>
      <c r="U11" s="65" t="n">
        <f aca="false">IF(U$5="A",Inputs_Actuals!U169,T11)</f>
        <v>9552.85</v>
      </c>
      <c r="V11" s="65" t="n">
        <f aca="false">IF(V$5="A",Inputs_Actuals!V169,U11*Account_Register!$M$9*(1+Assumptions!V$200)*(1+Account_Register!$N$9*Assumptions!$F$171))</f>
        <v>9721.362274</v>
      </c>
      <c r="W11" s="65" t="n">
        <f aca="false">IF(W$5="A",Inputs_Actuals!W169,V11)</f>
        <v>9721.362274</v>
      </c>
      <c r="X11" s="65" t="n">
        <f aca="false">IF(X$5="A",Inputs_Actuals!X169,W11)</f>
        <v>9721.362274</v>
      </c>
      <c r="Y11" s="65" t="n">
        <f aca="false">IF(Y$5="A",Inputs_Actuals!Y169,X11)</f>
        <v>9721.362274</v>
      </c>
      <c r="Z11" s="65" t="n">
        <f aca="false">IF(Z$5="A",Inputs_Actuals!Z169,Y11)</f>
        <v>9721.362274</v>
      </c>
      <c r="AA11" s="65" t="n">
        <f aca="false">IF(AA$5="A",Inputs_Actuals!AA169,Z11)</f>
        <v>9721.362274</v>
      </c>
      <c r="AB11" s="65" t="n">
        <f aca="false">IF(AB$5="A",Inputs_Actuals!AB169,AA11)</f>
        <v>9721.362274</v>
      </c>
    </row>
    <row r="12" customFormat="false" ht="15" hidden="false" customHeight="false" outlineLevel="0" collapsed="false">
      <c r="A12" s="28" t="s">
        <v>969</v>
      </c>
      <c r="B12" s="63" t="s">
        <v>966</v>
      </c>
      <c r="C12" s="64" t="n">
        <f aca="false">P12</f>
        <v>8201.3980308</v>
      </c>
      <c r="D12" s="64" t="n">
        <f aca="false">AB12</f>
        <v>8170.36394065146</v>
      </c>
      <c r="E12" s="65" t="n">
        <f aca="false">IF(E$5="A",Inputs_Actuals!E170,Account_Register!$H$10)</f>
        <v>8232.55</v>
      </c>
      <c r="F12" s="65" t="n">
        <f aca="false">IF(F$5="A",Inputs_Actuals!F170,E12)</f>
        <v>8232.55</v>
      </c>
      <c r="G12" s="65" t="n">
        <f aca="false">IF(G$5="A",Inputs_Actuals!G170,F12)</f>
        <v>8232.55</v>
      </c>
      <c r="H12" s="65" t="n">
        <f aca="false">IF(H$5="A",Inputs_Actuals!H170,G12)</f>
        <v>8232.55</v>
      </c>
      <c r="I12" s="65" t="n">
        <f aca="false">IF(I$5="A",Inputs_Actuals!I170,H12)</f>
        <v>8232.55</v>
      </c>
      <c r="J12" s="65" t="n">
        <f aca="false">IF(J$5="A",Inputs_Actuals!J170,I12)</f>
        <v>8232.55</v>
      </c>
      <c r="K12" s="65" t="n">
        <f aca="false">IF(K$5="A",Inputs_Actuals!K170,J12)</f>
        <v>8232.55</v>
      </c>
      <c r="L12" s="65" t="n">
        <f aca="false">IF(L$5="A",Inputs_Actuals!L170,K12)</f>
        <v>8232.55</v>
      </c>
      <c r="M12" s="65" t="n">
        <f aca="false">IF(M$5="A",Inputs_Actuals!M170,L12)</f>
        <v>8232.55</v>
      </c>
      <c r="N12" s="65" t="n">
        <f aca="false">IF(N$5="A",Inputs_Actuals!N170,M12*Account_Register!$M$10*(1+Assumptions!N$200)*(1+Account_Register!$N$10*Assumptions!$F$171))</f>
        <v>8201.3980308</v>
      </c>
      <c r="O12" s="65" t="n">
        <f aca="false">IF(O$5="A",Inputs_Actuals!O170,N12)</f>
        <v>8201.3980308</v>
      </c>
      <c r="P12" s="65" t="n">
        <f aca="false">IF(P$5="A",Inputs_Actuals!P170,O12)</f>
        <v>8201.3980308</v>
      </c>
      <c r="Q12" s="65" t="n">
        <f aca="false">IF(Q$5="A",Inputs_Actuals!Q170,P12)</f>
        <v>8201.3980308</v>
      </c>
      <c r="R12" s="65" t="n">
        <f aca="false">IF(R$5="A",Inputs_Actuals!R170,Q12)</f>
        <v>8201.3980308</v>
      </c>
      <c r="S12" s="65" t="n">
        <f aca="false">IF(S$5="A",Inputs_Actuals!S170,R12)</f>
        <v>8201.3980308</v>
      </c>
      <c r="T12" s="65" t="n">
        <f aca="false">IF(T$5="A",Inputs_Actuals!T170,S12)</f>
        <v>8201.3980308</v>
      </c>
      <c r="U12" s="65" t="n">
        <f aca="false">IF(U$5="A",Inputs_Actuals!U170,T12)</f>
        <v>8201.3980308</v>
      </c>
      <c r="V12" s="65" t="n">
        <f aca="false">IF(V$5="A",Inputs_Actuals!V170,U12)</f>
        <v>8201.3980308</v>
      </c>
      <c r="W12" s="65" t="n">
        <f aca="false">IF(W$5="A",Inputs_Actuals!W170,V12)</f>
        <v>8201.3980308</v>
      </c>
      <c r="X12" s="65" t="n">
        <f aca="false">IF(X$5="A",Inputs_Actuals!X170,W12)</f>
        <v>8201.3980308</v>
      </c>
      <c r="Y12" s="65" t="n">
        <f aca="false">IF(Y$5="A",Inputs_Actuals!Y170,X12)</f>
        <v>8201.3980308</v>
      </c>
      <c r="Z12" s="65" t="n">
        <f aca="false">IF(Z$5="A",Inputs_Actuals!Z170,Y12*Account_Register!$M$10*(1+Assumptions!Z$200)*(1+Account_Register!$N$10*Assumptions!$F$171))</f>
        <v>8170.36394065146</v>
      </c>
      <c r="AA12" s="65" t="n">
        <f aca="false">IF(AA$5="A",Inputs_Actuals!AA170,Z12)</f>
        <v>8170.36394065146</v>
      </c>
      <c r="AB12" s="65" t="n">
        <f aca="false">IF(AB$5="A",Inputs_Actuals!AB170,AA12)</f>
        <v>8170.36394065146</v>
      </c>
    </row>
    <row r="13" customFormat="false" ht="15" hidden="false" customHeight="false" outlineLevel="0" collapsed="false">
      <c r="A13" s="28" t="s">
        <v>970</v>
      </c>
      <c r="B13" s="63" t="s">
        <v>966</v>
      </c>
      <c r="C13" s="64" t="n">
        <f aca="false">P13</f>
        <v>0</v>
      </c>
      <c r="D13" s="64" t="n">
        <f aca="false">AB13</f>
        <v>0</v>
      </c>
      <c r="E13" s="65" t="n">
        <f aca="false">IF(E$5="A",Inputs_Actuals!E171,Account_Register!$H$11)</f>
        <v>6888.32</v>
      </c>
      <c r="F13" s="65" t="n">
        <f aca="false">IF(F$5="A",Inputs_Actuals!F171,E13*Account_Register!$M$11*(1+Assumptions!F$200)*(1+Account_Register!$N$11*Assumptions!$F$171))</f>
        <v>0</v>
      </c>
      <c r="G13" s="65" t="n">
        <f aca="false">IF(G$5="A",Inputs_Actuals!G171,F13)</f>
        <v>0</v>
      </c>
      <c r="H13" s="65" t="n">
        <f aca="false">IF(H$5="A",Inputs_Actuals!H171,G13)</f>
        <v>0</v>
      </c>
      <c r="I13" s="65" t="n">
        <f aca="false">IF(I$5="A",Inputs_Actuals!I171,H13)</f>
        <v>0</v>
      </c>
      <c r="J13" s="65" t="n">
        <f aca="false">IF(J$5="A",Inputs_Actuals!J171,I13)</f>
        <v>0</v>
      </c>
      <c r="K13" s="65" t="n">
        <f aca="false">IF(K$5="A",Inputs_Actuals!K171,J13)</f>
        <v>0</v>
      </c>
      <c r="L13" s="65" t="n">
        <f aca="false">IF(L$5="A",Inputs_Actuals!L171,K13)</f>
        <v>0</v>
      </c>
      <c r="M13" s="65" t="n">
        <f aca="false">IF(M$5="A",Inputs_Actuals!M171,L13)</f>
        <v>0</v>
      </c>
      <c r="N13" s="65" t="n">
        <f aca="false">IF(N$5="A",Inputs_Actuals!N171,M13)</f>
        <v>0</v>
      </c>
      <c r="O13" s="65" t="n">
        <f aca="false">IF(O$5="A",Inputs_Actuals!O171,N13)</f>
        <v>0</v>
      </c>
      <c r="P13" s="65" t="n">
        <f aca="false">IF(P$5="A",Inputs_Actuals!P171,O13)</f>
        <v>0</v>
      </c>
      <c r="Q13" s="65" t="n">
        <f aca="false">IF(Q$5="A",Inputs_Actuals!Q171,P13)</f>
        <v>0</v>
      </c>
      <c r="R13" s="65" t="n">
        <f aca="false">IF(R$5="A",Inputs_Actuals!R171,Q13*Account_Register!$M$11*(1+Assumptions!R$200)*(1+Account_Register!$N$11*Assumptions!$F$171))</f>
        <v>0</v>
      </c>
      <c r="S13" s="65" t="n">
        <f aca="false">IF(S$5="A",Inputs_Actuals!S171,R13)</f>
        <v>0</v>
      </c>
      <c r="T13" s="65" t="n">
        <f aca="false">IF(T$5="A",Inputs_Actuals!T171,S13)</f>
        <v>0</v>
      </c>
      <c r="U13" s="65" t="n">
        <f aca="false">IF(U$5="A",Inputs_Actuals!U171,T13)</f>
        <v>0</v>
      </c>
      <c r="V13" s="65" t="n">
        <f aca="false">IF(V$5="A",Inputs_Actuals!V171,U13)</f>
        <v>0</v>
      </c>
      <c r="W13" s="65" t="n">
        <f aca="false">IF(W$5="A",Inputs_Actuals!W171,V13)</f>
        <v>0</v>
      </c>
      <c r="X13" s="65" t="n">
        <f aca="false">IF(X$5="A",Inputs_Actuals!X171,W13)</f>
        <v>0</v>
      </c>
      <c r="Y13" s="65" t="n">
        <f aca="false">IF(Y$5="A",Inputs_Actuals!Y171,X13)</f>
        <v>0</v>
      </c>
      <c r="Z13" s="65" t="n">
        <f aca="false">IF(Z$5="A",Inputs_Actuals!Z171,Y13)</f>
        <v>0</v>
      </c>
      <c r="AA13" s="65" t="n">
        <f aca="false">IF(AA$5="A",Inputs_Actuals!AA171,Z13)</f>
        <v>0</v>
      </c>
      <c r="AB13" s="65" t="n">
        <f aca="false">IF(AB$5="A",Inputs_Actuals!AB171,AA13)</f>
        <v>0</v>
      </c>
    </row>
    <row r="14" customFormat="false" ht="15" hidden="false" customHeight="false" outlineLevel="0" collapsed="false">
      <c r="A14" s="28" t="s">
        <v>971</v>
      </c>
      <c r="B14" s="63" t="s">
        <v>966</v>
      </c>
      <c r="C14" s="64" t="n">
        <f aca="false">P14</f>
        <v>7130.04</v>
      </c>
      <c r="D14" s="64" t="n">
        <f aca="false">AB14</f>
        <v>7248.4699644</v>
      </c>
      <c r="E14" s="65" t="n">
        <f aca="false">IF(E$5="A",Inputs_Actuals!E172,Account_Register!$H$12)</f>
        <v>6321.51</v>
      </c>
      <c r="F14" s="65" t="n">
        <f aca="false">IF(F$5="A",Inputs_Actuals!F172,E14)</f>
        <v>6321.51</v>
      </c>
      <c r="G14" s="65" t="n">
        <f aca="false">IF(G$5="A",Inputs_Actuals!G172,F14)</f>
        <v>6321.51</v>
      </c>
      <c r="H14" s="65" t="n">
        <f aca="false">IF(H$5="A",Inputs_Actuals!H172,G14)</f>
        <v>6321.51</v>
      </c>
      <c r="I14" s="65" t="n">
        <f aca="false">IF(I$5="A",Inputs_Actuals!I172,H14*Account_Register!$M$12*(1+Assumptions!I$200)*(1+Account_Register!$N$12*Assumptions!$F$171))</f>
        <v>7130.04</v>
      </c>
      <c r="J14" s="65" t="n">
        <f aca="false">IF(J$5="A",Inputs_Actuals!J172,I14)</f>
        <v>7130.04</v>
      </c>
      <c r="K14" s="65" t="n">
        <f aca="false">IF(K$5="A",Inputs_Actuals!K172,J14)</f>
        <v>7130.04</v>
      </c>
      <c r="L14" s="65" t="n">
        <f aca="false">IF(L$5="A",Inputs_Actuals!L172,K14)</f>
        <v>7130.04</v>
      </c>
      <c r="M14" s="65" t="n">
        <f aca="false">IF(M$5="A",Inputs_Actuals!M172,L14)</f>
        <v>7130.04</v>
      </c>
      <c r="N14" s="65" t="n">
        <f aca="false">IF(N$5="A",Inputs_Actuals!N172,M14)</f>
        <v>7130.04</v>
      </c>
      <c r="O14" s="65" t="n">
        <f aca="false">IF(O$5="A",Inputs_Actuals!O172,N14)</f>
        <v>7130.04</v>
      </c>
      <c r="P14" s="65" t="n">
        <f aca="false">IF(P$5="A",Inputs_Actuals!P172,O14)</f>
        <v>7130.04</v>
      </c>
      <c r="Q14" s="65" t="n">
        <f aca="false">IF(Q$5="A",Inputs_Actuals!Q172,P14)</f>
        <v>7130.04</v>
      </c>
      <c r="R14" s="65" t="n">
        <f aca="false">IF(R$5="A",Inputs_Actuals!R172,Q14)</f>
        <v>7130.04</v>
      </c>
      <c r="S14" s="65" t="n">
        <f aca="false">IF(S$5="A",Inputs_Actuals!S172,R14)</f>
        <v>7130.04</v>
      </c>
      <c r="T14" s="65" t="n">
        <f aca="false">IF(T$5="A",Inputs_Actuals!T172,S14)</f>
        <v>7130.04</v>
      </c>
      <c r="U14" s="65" t="n">
        <f aca="false">IF(U$5="A",Inputs_Actuals!U172,T14*Account_Register!$M$12*(1+Assumptions!U$200)*(1+Account_Register!$N$12*Assumptions!$F$171))</f>
        <v>7248.4699644</v>
      </c>
      <c r="V14" s="65" t="n">
        <f aca="false">IF(V$5="A",Inputs_Actuals!V172,U14)</f>
        <v>7248.4699644</v>
      </c>
      <c r="W14" s="65" t="n">
        <f aca="false">IF(W$5="A",Inputs_Actuals!W172,V14)</f>
        <v>7248.4699644</v>
      </c>
      <c r="X14" s="65" t="n">
        <f aca="false">IF(X$5="A",Inputs_Actuals!X172,W14)</f>
        <v>7248.4699644</v>
      </c>
      <c r="Y14" s="65" t="n">
        <f aca="false">IF(Y$5="A",Inputs_Actuals!Y172,X14)</f>
        <v>7248.4699644</v>
      </c>
      <c r="Z14" s="65" t="n">
        <f aca="false">IF(Z$5="A",Inputs_Actuals!Z172,Y14)</f>
        <v>7248.4699644</v>
      </c>
      <c r="AA14" s="65" t="n">
        <f aca="false">IF(AA$5="A",Inputs_Actuals!AA172,Z14)</f>
        <v>7248.4699644</v>
      </c>
      <c r="AB14" s="65" t="n">
        <f aca="false">IF(AB$5="A",Inputs_Actuals!AB172,AA14)</f>
        <v>7248.4699644</v>
      </c>
    </row>
    <row r="15" customFormat="false" ht="15" hidden="false" customHeight="false" outlineLevel="0" collapsed="false">
      <c r="A15" s="28" t="s">
        <v>972</v>
      </c>
      <c r="B15" s="63" t="s">
        <v>966</v>
      </c>
      <c r="C15" s="64" t="n">
        <f aca="false">P15</f>
        <v>7929.9010518</v>
      </c>
      <c r="D15" s="64" t="n">
        <f aca="false">AB15</f>
        <v>7890.09294851997</v>
      </c>
      <c r="E15" s="65" t="n">
        <f aca="false">IF(E$5="A",Inputs_Actuals!E173,Account_Register!$H$13)</f>
        <v>7969.91</v>
      </c>
      <c r="F15" s="65" t="n">
        <f aca="false">IF(F$5="A",Inputs_Actuals!F173,E15)</f>
        <v>7969.91</v>
      </c>
      <c r="G15" s="65" t="n">
        <f aca="false">IF(G$5="A",Inputs_Actuals!G173,F15)</f>
        <v>7969.91</v>
      </c>
      <c r="H15" s="65" t="n">
        <f aca="false">IF(H$5="A",Inputs_Actuals!H173,G15)</f>
        <v>7969.91</v>
      </c>
      <c r="I15" s="65" t="n">
        <f aca="false">IF(I$5="A",Inputs_Actuals!I173,H15)</f>
        <v>7969.91</v>
      </c>
      <c r="J15" s="65" t="n">
        <f aca="false">IF(J$5="A",Inputs_Actuals!J173,I15)</f>
        <v>7969.91</v>
      </c>
      <c r="K15" s="65" t="n">
        <f aca="false">IF(K$5="A",Inputs_Actuals!K173,J15)</f>
        <v>7969.91</v>
      </c>
      <c r="L15" s="65" t="n">
        <f aca="false">IF(L$5="A",Inputs_Actuals!L173,K15)</f>
        <v>7969.91</v>
      </c>
      <c r="M15" s="65" t="n">
        <f aca="false">IF(M$5="A",Inputs_Actuals!M173,L15*Account_Register!$M$13*(1+Assumptions!M$200)*(1+Account_Register!$N$13*Assumptions!$F$171))</f>
        <v>7929.9010518</v>
      </c>
      <c r="N15" s="65" t="n">
        <f aca="false">IF(N$5="A",Inputs_Actuals!N173,M15)</f>
        <v>7929.9010518</v>
      </c>
      <c r="O15" s="65" t="n">
        <f aca="false">IF(O$5="A",Inputs_Actuals!O173,N15)</f>
        <v>7929.9010518</v>
      </c>
      <c r="P15" s="65" t="n">
        <f aca="false">IF(P$5="A",Inputs_Actuals!P173,O15)</f>
        <v>7929.9010518</v>
      </c>
      <c r="Q15" s="65" t="n">
        <f aca="false">IF(Q$5="A",Inputs_Actuals!Q173,P15)</f>
        <v>7929.9010518</v>
      </c>
      <c r="R15" s="65" t="n">
        <f aca="false">IF(R$5="A",Inputs_Actuals!R173,Q15)</f>
        <v>7929.9010518</v>
      </c>
      <c r="S15" s="65" t="n">
        <f aca="false">IF(S$5="A",Inputs_Actuals!S173,R15)</f>
        <v>7929.9010518</v>
      </c>
      <c r="T15" s="65" t="n">
        <f aca="false">IF(T$5="A",Inputs_Actuals!T173,S15)</f>
        <v>7929.9010518</v>
      </c>
      <c r="U15" s="65" t="n">
        <f aca="false">IF(U$5="A",Inputs_Actuals!U173,T15)</f>
        <v>7929.9010518</v>
      </c>
      <c r="V15" s="65" t="n">
        <f aca="false">IF(V$5="A",Inputs_Actuals!V173,U15)</f>
        <v>7929.9010518</v>
      </c>
      <c r="W15" s="65" t="n">
        <f aca="false">IF(W$5="A",Inputs_Actuals!W173,V15)</f>
        <v>7929.9010518</v>
      </c>
      <c r="X15" s="65" t="n">
        <f aca="false">IF(X$5="A",Inputs_Actuals!X173,W15)</f>
        <v>7929.9010518</v>
      </c>
      <c r="Y15" s="65" t="n">
        <f aca="false">IF(Y$5="A",Inputs_Actuals!Y173,X15*Account_Register!$M$13*(1+Assumptions!Y$200)*(1+Account_Register!$N$13*Assumptions!$F$171))</f>
        <v>7890.09294851997</v>
      </c>
      <c r="Z15" s="65" t="n">
        <f aca="false">IF(Z$5="A",Inputs_Actuals!Z173,Y15)</f>
        <v>7890.09294851997</v>
      </c>
      <c r="AA15" s="65" t="n">
        <f aca="false">IF(AA$5="A",Inputs_Actuals!AA173,Z15)</f>
        <v>7890.09294851997</v>
      </c>
      <c r="AB15" s="65" t="n">
        <f aca="false">IF(AB$5="A",Inputs_Actuals!AB173,AA15)</f>
        <v>7890.09294851997</v>
      </c>
    </row>
    <row r="16" customFormat="false" ht="15" hidden="false" customHeight="false" outlineLevel="0" collapsed="false">
      <c r="A16" s="28" t="s">
        <v>973</v>
      </c>
      <c r="B16" s="63" t="s">
        <v>966</v>
      </c>
      <c r="C16" s="64" t="n">
        <f aca="false">P16</f>
        <v>6417.4820736</v>
      </c>
      <c r="D16" s="64" t="n">
        <f aca="false">AB16</f>
        <v>6530.6864573783</v>
      </c>
      <c r="E16" s="65" t="n">
        <f aca="false">IF(E$5="A",Inputs_Actuals!E174,Account_Register!$H$14)</f>
        <v>6306.24</v>
      </c>
      <c r="F16" s="65" t="n">
        <f aca="false">IF(F$5="A",Inputs_Actuals!F174,E16)</f>
        <v>6306.24</v>
      </c>
      <c r="G16" s="65" t="n">
        <f aca="false">IF(G$5="A",Inputs_Actuals!G174,F16)</f>
        <v>6306.24</v>
      </c>
      <c r="H16" s="65" t="n">
        <f aca="false">IF(H$5="A",Inputs_Actuals!H174,G16)</f>
        <v>6306.24</v>
      </c>
      <c r="I16" s="65" t="n">
        <f aca="false">IF(I$5="A",Inputs_Actuals!I174,H16)</f>
        <v>6306.24</v>
      </c>
      <c r="J16" s="65" t="n">
        <f aca="false">IF(J$5="A",Inputs_Actuals!J174,I16)</f>
        <v>6306.24</v>
      </c>
      <c r="K16" s="65" t="n">
        <f aca="false">IF(K$5="A",Inputs_Actuals!K174,J16)</f>
        <v>6306.24</v>
      </c>
      <c r="L16" s="65" t="n">
        <f aca="false">IF(L$5="A",Inputs_Actuals!L174,K16)</f>
        <v>6306.24</v>
      </c>
      <c r="M16" s="65" t="n">
        <f aca="false">IF(M$5="A",Inputs_Actuals!M174,L16)</f>
        <v>6306.24</v>
      </c>
      <c r="N16" s="65" t="n">
        <f aca="false">IF(N$5="A",Inputs_Actuals!N174,M16)</f>
        <v>6306.24</v>
      </c>
      <c r="O16" s="65" t="n">
        <f aca="false">IF(O$5="A",Inputs_Actuals!O174,N16*Account_Register!$M$14*(1+Assumptions!O$200)*(1+Account_Register!$N$14*Assumptions!$F$171))</f>
        <v>6417.4820736</v>
      </c>
      <c r="P16" s="65" t="n">
        <f aca="false">IF(P$5="A",Inputs_Actuals!P174,O16)</f>
        <v>6417.4820736</v>
      </c>
      <c r="Q16" s="65" t="n">
        <f aca="false">IF(Q$5="A",Inputs_Actuals!Q174,P16)</f>
        <v>6417.4820736</v>
      </c>
      <c r="R16" s="65" t="n">
        <f aca="false">IF(R$5="A",Inputs_Actuals!R174,Q16)</f>
        <v>6417.4820736</v>
      </c>
      <c r="S16" s="65" t="n">
        <f aca="false">IF(S$5="A",Inputs_Actuals!S174,R16)</f>
        <v>6417.4820736</v>
      </c>
      <c r="T16" s="65" t="n">
        <f aca="false">IF(T$5="A",Inputs_Actuals!T174,S16)</f>
        <v>6417.4820736</v>
      </c>
      <c r="U16" s="65" t="n">
        <f aca="false">IF(U$5="A",Inputs_Actuals!U174,T16)</f>
        <v>6417.4820736</v>
      </c>
      <c r="V16" s="65" t="n">
        <f aca="false">IF(V$5="A",Inputs_Actuals!V174,U16)</f>
        <v>6417.4820736</v>
      </c>
      <c r="W16" s="65" t="n">
        <f aca="false">IF(W$5="A",Inputs_Actuals!W174,V16)</f>
        <v>6417.4820736</v>
      </c>
      <c r="X16" s="65" t="n">
        <f aca="false">IF(X$5="A",Inputs_Actuals!X174,W16)</f>
        <v>6417.4820736</v>
      </c>
      <c r="Y16" s="65" t="n">
        <f aca="false">IF(Y$5="A",Inputs_Actuals!Y174,X16)</f>
        <v>6417.4820736</v>
      </c>
      <c r="Z16" s="65" t="n">
        <f aca="false">IF(Z$5="A",Inputs_Actuals!Z174,Y16)</f>
        <v>6417.4820736</v>
      </c>
      <c r="AA16" s="65" t="n">
        <f aca="false">IF(AA$5="A",Inputs_Actuals!AA174,Z16*Account_Register!$M$14*(1+Assumptions!AA$200)*(1+Account_Register!$N$14*Assumptions!$F$171))</f>
        <v>6530.6864573783</v>
      </c>
      <c r="AB16" s="65" t="n">
        <f aca="false">IF(AB$5="A",Inputs_Actuals!AB174,AA16)</f>
        <v>6530.6864573783</v>
      </c>
    </row>
    <row r="17" customFormat="false" ht="15" hidden="false" customHeight="false" outlineLevel="0" collapsed="false">
      <c r="A17" s="28" t="s">
        <v>974</v>
      </c>
      <c r="B17" s="63" t="s">
        <v>966</v>
      </c>
      <c r="C17" s="64" t="n">
        <f aca="false">P17</f>
        <v>7400.78</v>
      </c>
      <c r="D17" s="64" t="n">
        <f aca="false">AB17</f>
        <v>7603.7463915</v>
      </c>
      <c r="E17" s="65" t="n">
        <f aca="false">IF(E$5="A",Inputs_Actuals!E175,Account_Register!$H$15*Account_Register!$M$15*(1+Assumptions!E$200)*(1+Account_Register!$N$15*Assumptions!$F$171))</f>
        <v>6950.78</v>
      </c>
      <c r="F17" s="65" t="n">
        <f aca="false">IF(F$5="A",Inputs_Actuals!F175,E17)</f>
        <v>6950.78</v>
      </c>
      <c r="G17" s="65" t="n">
        <f aca="false">IF(G$5="A",Inputs_Actuals!G175,F17)</f>
        <v>6950.78</v>
      </c>
      <c r="H17" s="65" t="n">
        <f aca="false">IF(H$5="A",Inputs_Actuals!H175,G17)</f>
        <v>6950.78</v>
      </c>
      <c r="I17" s="65" t="n">
        <f aca="false">IF(I$5="A",Inputs_Actuals!I175,H17)</f>
        <v>6950.78</v>
      </c>
      <c r="J17" s="65" t="n">
        <f aca="false">IF(J$5="A",Inputs_Actuals!J175,I17)</f>
        <v>7400.78</v>
      </c>
      <c r="K17" s="65" t="n">
        <f aca="false">IF(K$5="A",Inputs_Actuals!K175,J17)</f>
        <v>7400.78</v>
      </c>
      <c r="L17" s="65" t="n">
        <f aca="false">IF(L$5="A",Inputs_Actuals!L175,K17)</f>
        <v>7400.78</v>
      </c>
      <c r="M17" s="65" t="n">
        <f aca="false">IF(M$5="A",Inputs_Actuals!M175,L17)</f>
        <v>7400.78</v>
      </c>
      <c r="N17" s="65" t="n">
        <f aca="false">IF(N$5="A",Inputs_Actuals!N175,M17)</f>
        <v>7400.78</v>
      </c>
      <c r="O17" s="65" t="n">
        <f aca="false">IF(O$5="A",Inputs_Actuals!O175,N17)</f>
        <v>7400.78</v>
      </c>
      <c r="P17" s="65" t="n">
        <f aca="false">IF(P$5="A",Inputs_Actuals!P175,O17)</f>
        <v>7400.78</v>
      </c>
      <c r="Q17" s="65" t="n">
        <f aca="false">IF(Q$5="A",Inputs_Actuals!Q175,P17*Account_Register!$M$15*(1+Assumptions!Q$200)*(1+Account_Register!$N$15*Assumptions!$F$171))</f>
        <v>7603.7463915</v>
      </c>
      <c r="R17" s="65" t="n">
        <f aca="false">IF(R$5="A",Inputs_Actuals!R175,Q17)</f>
        <v>7603.7463915</v>
      </c>
      <c r="S17" s="65" t="n">
        <f aca="false">IF(S$5="A",Inputs_Actuals!S175,R17)</f>
        <v>7603.7463915</v>
      </c>
      <c r="T17" s="65" t="n">
        <f aca="false">IF(T$5="A",Inputs_Actuals!T175,S17)</f>
        <v>7603.7463915</v>
      </c>
      <c r="U17" s="65" t="n">
        <f aca="false">IF(U$5="A",Inputs_Actuals!U175,T17)</f>
        <v>7603.7463915</v>
      </c>
      <c r="V17" s="65" t="n">
        <f aca="false">IF(V$5="A",Inputs_Actuals!V175,U17)</f>
        <v>7603.7463915</v>
      </c>
      <c r="W17" s="65" t="n">
        <f aca="false">IF(W$5="A",Inputs_Actuals!W175,V17)</f>
        <v>7603.7463915</v>
      </c>
      <c r="X17" s="65" t="n">
        <f aca="false">IF(X$5="A",Inputs_Actuals!X175,W17)</f>
        <v>7603.7463915</v>
      </c>
      <c r="Y17" s="65" t="n">
        <f aca="false">IF(Y$5="A",Inputs_Actuals!Y175,X17)</f>
        <v>7603.7463915</v>
      </c>
      <c r="Z17" s="65" t="n">
        <f aca="false">IF(Z$5="A",Inputs_Actuals!Z175,Y17)</f>
        <v>7603.7463915</v>
      </c>
      <c r="AA17" s="65" t="n">
        <f aca="false">IF(AA$5="A",Inputs_Actuals!AA175,Z17)</f>
        <v>7603.7463915</v>
      </c>
      <c r="AB17" s="65" t="n">
        <f aca="false">IF(AB$5="A",Inputs_Actuals!AB175,AA17)</f>
        <v>7603.7463915</v>
      </c>
    </row>
    <row r="18" customFormat="false" ht="15" hidden="false" customHeight="false" outlineLevel="0" collapsed="false">
      <c r="A18" s="28" t="s">
        <v>975</v>
      </c>
      <c r="B18" s="63" t="s">
        <v>966</v>
      </c>
      <c r="C18" s="64" t="n">
        <f aca="false">P18</f>
        <v>4855.78</v>
      </c>
      <c r="D18" s="64" t="n">
        <f aca="false">AB18</f>
        <v>4837.40572848</v>
      </c>
      <c r="E18" s="65" t="n">
        <f aca="false">IF(E$5="A",Inputs_Actuals!E176,Account_Register!$H$16)</f>
        <v>4703.54</v>
      </c>
      <c r="F18" s="65" t="n">
        <f aca="false">IF(F$5="A",Inputs_Actuals!F176,E18)</f>
        <v>4703.54</v>
      </c>
      <c r="G18" s="65" t="n">
        <f aca="false">IF(G$5="A",Inputs_Actuals!G176,F18*Account_Register!$M$16*(1+Assumptions!G$200)*(1+Account_Register!$N$16*Assumptions!$F$171))</f>
        <v>4855.78</v>
      </c>
      <c r="H18" s="65" t="n">
        <f aca="false">IF(H$5="A",Inputs_Actuals!H176,G18)</f>
        <v>4855.78</v>
      </c>
      <c r="I18" s="65" t="n">
        <f aca="false">IF(I$5="A",Inputs_Actuals!I176,H18)</f>
        <v>4855.78</v>
      </c>
      <c r="J18" s="65" t="n">
        <f aca="false">IF(J$5="A",Inputs_Actuals!J176,I18)</f>
        <v>4855.78</v>
      </c>
      <c r="K18" s="65" t="n">
        <f aca="false">IF(K$5="A",Inputs_Actuals!K176,J18)</f>
        <v>4855.78</v>
      </c>
      <c r="L18" s="65" t="n">
        <f aca="false">IF(L$5="A",Inputs_Actuals!L176,K18)</f>
        <v>4855.78</v>
      </c>
      <c r="M18" s="65" t="n">
        <f aca="false">IF(M$5="A",Inputs_Actuals!M176,L18)</f>
        <v>4855.78</v>
      </c>
      <c r="N18" s="65" t="n">
        <f aca="false">IF(N$5="A",Inputs_Actuals!N176,M18)</f>
        <v>4855.78</v>
      </c>
      <c r="O18" s="65" t="n">
        <f aca="false">IF(O$5="A",Inputs_Actuals!O176,N18)</f>
        <v>4855.78</v>
      </c>
      <c r="P18" s="65" t="n">
        <f aca="false">IF(P$5="A",Inputs_Actuals!P176,O18)</f>
        <v>4855.78</v>
      </c>
      <c r="Q18" s="65" t="n">
        <f aca="false">IF(Q$5="A",Inputs_Actuals!Q176,P18)</f>
        <v>4855.78</v>
      </c>
      <c r="R18" s="65" t="n">
        <f aca="false">IF(R$5="A",Inputs_Actuals!R176,Q18)</f>
        <v>4855.78</v>
      </c>
      <c r="S18" s="65" t="n">
        <f aca="false">IF(S$5="A",Inputs_Actuals!S176,R18*Account_Register!$M$16*(1+Assumptions!S$200)*(1+Account_Register!$N$16*Assumptions!$F$171))</f>
        <v>4837.40572848</v>
      </c>
      <c r="T18" s="65" t="n">
        <f aca="false">IF(T$5="A",Inputs_Actuals!T176,S18)</f>
        <v>4837.40572848</v>
      </c>
      <c r="U18" s="65" t="n">
        <f aca="false">IF(U$5="A",Inputs_Actuals!U176,T18)</f>
        <v>4837.40572848</v>
      </c>
      <c r="V18" s="65" t="n">
        <f aca="false">IF(V$5="A",Inputs_Actuals!V176,U18)</f>
        <v>4837.40572848</v>
      </c>
      <c r="W18" s="65" t="n">
        <f aca="false">IF(W$5="A",Inputs_Actuals!W176,V18)</f>
        <v>4837.40572848</v>
      </c>
      <c r="X18" s="65" t="n">
        <f aca="false">IF(X$5="A",Inputs_Actuals!X176,W18)</f>
        <v>4837.40572848</v>
      </c>
      <c r="Y18" s="65" t="n">
        <f aca="false">IF(Y$5="A",Inputs_Actuals!Y176,X18)</f>
        <v>4837.40572848</v>
      </c>
      <c r="Z18" s="65" t="n">
        <f aca="false">IF(Z$5="A",Inputs_Actuals!Z176,Y18)</f>
        <v>4837.40572848</v>
      </c>
      <c r="AA18" s="65" t="n">
        <f aca="false">IF(AA$5="A",Inputs_Actuals!AA176,Z18)</f>
        <v>4837.40572848</v>
      </c>
      <c r="AB18" s="65" t="n">
        <f aca="false">IF(AB$5="A",Inputs_Actuals!AB176,AA18)</f>
        <v>4837.40572848</v>
      </c>
    </row>
    <row r="19" customFormat="false" ht="15" hidden="false" customHeight="false" outlineLevel="0" collapsed="false">
      <c r="A19" s="28" t="s">
        <v>976</v>
      </c>
      <c r="B19" s="63" t="s">
        <v>966</v>
      </c>
      <c r="C19" s="64" t="n">
        <f aca="false">P19</f>
        <v>5362.35</v>
      </c>
      <c r="D19" s="64" t="n">
        <f aca="false">AB19</f>
        <v>5399.5003608</v>
      </c>
      <c r="E19" s="65" t="n">
        <f aca="false">IF(E$5="A",Inputs_Actuals!E177,Account_Register!$H$17)</f>
        <v>5097.3</v>
      </c>
      <c r="F19" s="65" t="n">
        <f aca="false">IF(F$5="A",Inputs_Actuals!F177,E19)</f>
        <v>5097.3</v>
      </c>
      <c r="G19" s="65" t="n">
        <f aca="false">IF(G$5="A",Inputs_Actuals!G177,F19)</f>
        <v>5097.3</v>
      </c>
      <c r="H19" s="65" t="n">
        <f aca="false">IF(H$5="A",Inputs_Actuals!H177,G19*Account_Register!$M$17*(1+Assumptions!H$200)*(1+Account_Register!$N$17*Assumptions!$F$171))</f>
        <v>5362.35</v>
      </c>
      <c r="I19" s="65" t="n">
        <f aca="false">IF(I$5="A",Inputs_Actuals!I177,H19)</f>
        <v>5362.35</v>
      </c>
      <c r="J19" s="65" t="n">
        <f aca="false">IF(J$5="A",Inputs_Actuals!J177,I19)</f>
        <v>5362.35</v>
      </c>
      <c r="K19" s="65" t="n">
        <f aca="false">IF(K$5="A",Inputs_Actuals!K177,J19)</f>
        <v>5362.35</v>
      </c>
      <c r="L19" s="65" t="n">
        <f aca="false">IF(L$5="A",Inputs_Actuals!L177,K19)</f>
        <v>5362.35</v>
      </c>
      <c r="M19" s="65" t="n">
        <f aca="false">IF(M$5="A",Inputs_Actuals!M177,L19)</f>
        <v>5362.35</v>
      </c>
      <c r="N19" s="65" t="n">
        <f aca="false">IF(N$5="A",Inputs_Actuals!N177,M19)</f>
        <v>5362.35</v>
      </c>
      <c r="O19" s="65" t="n">
        <f aca="false">IF(O$5="A",Inputs_Actuals!O177,N19)</f>
        <v>5362.35</v>
      </c>
      <c r="P19" s="65" t="n">
        <f aca="false">IF(P$5="A",Inputs_Actuals!P177,O19)</f>
        <v>5362.35</v>
      </c>
      <c r="Q19" s="65" t="n">
        <f aca="false">IF(Q$5="A",Inputs_Actuals!Q177,P19)</f>
        <v>5362.35</v>
      </c>
      <c r="R19" s="65" t="n">
        <f aca="false">IF(R$5="A",Inputs_Actuals!R177,Q19)</f>
        <v>5362.35</v>
      </c>
      <c r="S19" s="65" t="n">
        <f aca="false">IF(S$5="A",Inputs_Actuals!S177,R19)</f>
        <v>5362.35</v>
      </c>
      <c r="T19" s="65" t="n">
        <f aca="false">IF(T$5="A",Inputs_Actuals!T177,S19*Account_Register!$M$17*(1+Assumptions!T$200)*(1+Account_Register!$N$17*Assumptions!$F$171))</f>
        <v>5399.5003608</v>
      </c>
      <c r="U19" s="65" t="n">
        <f aca="false">IF(U$5="A",Inputs_Actuals!U177,T19)</f>
        <v>5399.5003608</v>
      </c>
      <c r="V19" s="65" t="n">
        <f aca="false">IF(V$5="A",Inputs_Actuals!V177,U19)</f>
        <v>5399.5003608</v>
      </c>
      <c r="W19" s="65" t="n">
        <f aca="false">IF(W$5="A",Inputs_Actuals!W177,V19)</f>
        <v>5399.5003608</v>
      </c>
      <c r="X19" s="65" t="n">
        <f aca="false">IF(X$5="A",Inputs_Actuals!X177,W19)</f>
        <v>5399.5003608</v>
      </c>
      <c r="Y19" s="65" t="n">
        <f aca="false">IF(Y$5="A",Inputs_Actuals!Y177,X19)</f>
        <v>5399.5003608</v>
      </c>
      <c r="Z19" s="65" t="n">
        <f aca="false">IF(Z$5="A",Inputs_Actuals!Z177,Y19)</f>
        <v>5399.5003608</v>
      </c>
      <c r="AA19" s="65" t="n">
        <f aca="false">IF(AA$5="A",Inputs_Actuals!AA177,Z19)</f>
        <v>5399.5003608</v>
      </c>
      <c r="AB19" s="65" t="n">
        <f aca="false">IF(AB$5="A",Inputs_Actuals!AB177,AA19)</f>
        <v>5399.5003608</v>
      </c>
    </row>
    <row r="20" customFormat="false" ht="15" hidden="false" customHeight="false" outlineLevel="0" collapsed="false">
      <c r="A20" s="28" t="s">
        <v>977</v>
      </c>
      <c r="B20" s="63" t="s">
        <v>966</v>
      </c>
      <c r="C20" s="64" t="n">
        <f aca="false">P20</f>
        <v>4177.93</v>
      </c>
      <c r="D20" s="64" t="n">
        <f aca="false">AB20</f>
        <v>4077.77666204</v>
      </c>
      <c r="E20" s="65" t="n">
        <f aca="false">IF(E$5="A",Inputs_Actuals!E178,Account_Register!$H$18)</f>
        <v>3940.94</v>
      </c>
      <c r="F20" s="65" t="n">
        <f aca="false">IF(F$5="A",Inputs_Actuals!F178,E20)</f>
        <v>3940.94</v>
      </c>
      <c r="G20" s="65" t="n">
        <f aca="false">IF(G$5="A",Inputs_Actuals!G178,F20)</f>
        <v>3940.94</v>
      </c>
      <c r="H20" s="65" t="n">
        <f aca="false">IF(H$5="A",Inputs_Actuals!H178,G20)</f>
        <v>3940.94</v>
      </c>
      <c r="I20" s="65" t="n">
        <f aca="false">IF(I$5="A",Inputs_Actuals!I178,H20)</f>
        <v>3940.94</v>
      </c>
      <c r="J20" s="65" t="n">
        <f aca="false">IF(J$5="A",Inputs_Actuals!J178,I20*Account_Register!$M$18*(1+Assumptions!J$200)*(1+Account_Register!$N$18*Assumptions!$F$171))</f>
        <v>4177.93</v>
      </c>
      <c r="K20" s="65" t="n">
        <f aca="false">IF(K$5="A",Inputs_Actuals!K178,J20)</f>
        <v>4177.93</v>
      </c>
      <c r="L20" s="65" t="n">
        <f aca="false">IF(L$5="A",Inputs_Actuals!L178,K20)</f>
        <v>4177.93</v>
      </c>
      <c r="M20" s="65" t="n">
        <f aca="false">IF(M$5="A",Inputs_Actuals!M178,L20)</f>
        <v>4177.93</v>
      </c>
      <c r="N20" s="65" t="n">
        <f aca="false">IF(N$5="A",Inputs_Actuals!N178,M20)</f>
        <v>4177.93</v>
      </c>
      <c r="O20" s="65" t="n">
        <f aca="false">IF(O$5="A",Inputs_Actuals!O178,N20)</f>
        <v>4177.93</v>
      </c>
      <c r="P20" s="65" t="n">
        <f aca="false">IF(P$5="A",Inputs_Actuals!P178,O20)</f>
        <v>4177.93</v>
      </c>
      <c r="Q20" s="65" t="n">
        <f aca="false">IF(Q$5="A",Inputs_Actuals!Q178,P20)</f>
        <v>4177.93</v>
      </c>
      <c r="R20" s="65" t="n">
        <f aca="false">IF(R$5="A",Inputs_Actuals!R178,Q20)</f>
        <v>4177.93</v>
      </c>
      <c r="S20" s="65" t="n">
        <f aca="false">IF(S$5="A",Inputs_Actuals!S178,R20)</f>
        <v>4177.93</v>
      </c>
      <c r="T20" s="65" t="n">
        <f aca="false">IF(T$5="A",Inputs_Actuals!T178,S20)</f>
        <v>4177.93</v>
      </c>
      <c r="U20" s="65" t="n">
        <f aca="false">IF(U$5="A",Inputs_Actuals!U178,T20)</f>
        <v>4177.93</v>
      </c>
      <c r="V20" s="65" t="n">
        <f aca="false">IF(V$5="A",Inputs_Actuals!V178,U20*Account_Register!$M$18*(1+Assumptions!V$200)*(1+Account_Register!$N$18*Assumptions!$F$171))</f>
        <v>4077.77666204</v>
      </c>
      <c r="W20" s="65" t="n">
        <f aca="false">IF(W$5="A",Inputs_Actuals!W178,V20)</f>
        <v>4077.77666204</v>
      </c>
      <c r="X20" s="65" t="n">
        <f aca="false">IF(X$5="A",Inputs_Actuals!X178,W20)</f>
        <v>4077.77666204</v>
      </c>
      <c r="Y20" s="65" t="n">
        <f aca="false">IF(Y$5="A",Inputs_Actuals!Y178,X20)</f>
        <v>4077.77666204</v>
      </c>
      <c r="Z20" s="65" t="n">
        <f aca="false">IF(Z$5="A",Inputs_Actuals!Z178,Y20)</f>
        <v>4077.77666204</v>
      </c>
      <c r="AA20" s="65" t="n">
        <f aca="false">IF(AA$5="A",Inputs_Actuals!AA178,Z20)</f>
        <v>4077.77666204</v>
      </c>
      <c r="AB20" s="65" t="n">
        <f aca="false">IF(AB$5="A",Inputs_Actuals!AB178,AA20)</f>
        <v>4077.77666204</v>
      </c>
    </row>
    <row r="21" customFormat="false" ht="15" hidden="false" customHeight="false" outlineLevel="0" collapsed="false">
      <c r="A21" s="28" t="s">
        <v>978</v>
      </c>
      <c r="B21" s="63" t="s">
        <v>966</v>
      </c>
      <c r="C21" s="64" t="n">
        <f aca="false">P21</f>
        <v>5887.78995584</v>
      </c>
      <c r="D21" s="64" t="n">
        <f aca="false">AB21</f>
        <v>5928.58056465406</v>
      </c>
      <c r="E21" s="65" t="n">
        <f aca="false">IF(E$5="A",Inputs_Actuals!E179,Account_Register!$H$19)</f>
        <v>5847.28</v>
      </c>
      <c r="F21" s="65" t="n">
        <f aca="false">IF(F$5="A",Inputs_Actuals!F179,E21)</f>
        <v>5847.28</v>
      </c>
      <c r="G21" s="65" t="n">
        <f aca="false">IF(G$5="A",Inputs_Actuals!G179,F21)</f>
        <v>5847.28</v>
      </c>
      <c r="H21" s="65" t="n">
        <f aca="false">IF(H$5="A",Inputs_Actuals!H179,G21)</f>
        <v>5847.28</v>
      </c>
      <c r="I21" s="65" t="n">
        <f aca="false">IF(I$5="A",Inputs_Actuals!I179,H21)</f>
        <v>5847.28</v>
      </c>
      <c r="J21" s="65" t="n">
        <f aca="false">IF(J$5="A",Inputs_Actuals!J179,I21)</f>
        <v>5847.28</v>
      </c>
      <c r="K21" s="65" t="n">
        <f aca="false">IF(K$5="A",Inputs_Actuals!K179,J21)</f>
        <v>5847.28</v>
      </c>
      <c r="L21" s="65" t="n">
        <f aca="false">IF(L$5="A",Inputs_Actuals!L179,K21)</f>
        <v>5847.28</v>
      </c>
      <c r="M21" s="65" t="n">
        <f aca="false">IF(M$5="A",Inputs_Actuals!M179,L21*Account_Register!$M$19*(1+Assumptions!M$200)*(1+Account_Register!$N$19*Assumptions!$F$171))</f>
        <v>5887.78995584</v>
      </c>
      <c r="N21" s="65" t="n">
        <f aca="false">IF(N$5="A",Inputs_Actuals!N179,M21)</f>
        <v>5887.78995584</v>
      </c>
      <c r="O21" s="65" t="n">
        <f aca="false">IF(O$5="A",Inputs_Actuals!O179,N21)</f>
        <v>5887.78995584</v>
      </c>
      <c r="P21" s="65" t="n">
        <f aca="false">IF(P$5="A",Inputs_Actuals!P179,O21)</f>
        <v>5887.78995584</v>
      </c>
      <c r="Q21" s="65" t="n">
        <f aca="false">IF(Q$5="A",Inputs_Actuals!Q179,P21)</f>
        <v>5887.78995584</v>
      </c>
      <c r="R21" s="65" t="n">
        <f aca="false">IF(R$5="A",Inputs_Actuals!R179,Q21)</f>
        <v>5887.78995584</v>
      </c>
      <c r="S21" s="65" t="n">
        <f aca="false">IF(S$5="A",Inputs_Actuals!S179,R21)</f>
        <v>5887.78995584</v>
      </c>
      <c r="T21" s="65" t="n">
        <f aca="false">IF(T$5="A",Inputs_Actuals!T179,S21)</f>
        <v>5887.78995584</v>
      </c>
      <c r="U21" s="65" t="n">
        <f aca="false">IF(U$5="A",Inputs_Actuals!U179,T21)</f>
        <v>5887.78995584</v>
      </c>
      <c r="V21" s="65" t="n">
        <f aca="false">IF(V$5="A",Inputs_Actuals!V179,U21)</f>
        <v>5887.78995584</v>
      </c>
      <c r="W21" s="65" t="n">
        <f aca="false">IF(W$5="A",Inputs_Actuals!W179,V21)</f>
        <v>5887.78995584</v>
      </c>
      <c r="X21" s="65" t="n">
        <f aca="false">IF(X$5="A",Inputs_Actuals!X179,W21)</f>
        <v>5887.78995584</v>
      </c>
      <c r="Y21" s="65" t="n">
        <f aca="false">IF(Y$5="A",Inputs_Actuals!Y179,X21*Account_Register!$M$19*(1+Assumptions!Y$200)*(1+Account_Register!$N$19*Assumptions!$F$171))</f>
        <v>5928.58056465406</v>
      </c>
      <c r="Z21" s="65" t="n">
        <f aca="false">IF(Z$5="A",Inputs_Actuals!Z179,Y21)</f>
        <v>5928.58056465406</v>
      </c>
      <c r="AA21" s="65" t="n">
        <f aca="false">IF(AA$5="A",Inputs_Actuals!AA179,Z21)</f>
        <v>5928.58056465406</v>
      </c>
      <c r="AB21" s="65" t="n">
        <f aca="false">IF(AB$5="A",Inputs_Actuals!AB179,AA21)</f>
        <v>5928.58056465406</v>
      </c>
    </row>
    <row r="22" customFormat="false" ht="15" hidden="false" customHeight="false" outlineLevel="0" collapsed="false">
      <c r="A22" s="28" t="s">
        <v>979</v>
      </c>
      <c r="B22" s="63" t="s">
        <v>966</v>
      </c>
      <c r="C22" s="64" t="n">
        <f aca="false">P22</f>
        <v>6552.105525</v>
      </c>
      <c r="D22" s="64" t="n">
        <f aca="false">AB22</f>
        <v>6377.49191275875</v>
      </c>
      <c r="E22" s="65" t="n">
        <f aca="false">IF(E$5="A",Inputs_Actuals!E180,Account_Register!$H$20)</f>
        <v>6731.5</v>
      </c>
      <c r="F22" s="65" t="n">
        <f aca="false">IF(F$5="A",Inputs_Actuals!F180,E22)</f>
        <v>6731.5</v>
      </c>
      <c r="G22" s="65" t="n">
        <f aca="false">IF(G$5="A",Inputs_Actuals!G180,F22)</f>
        <v>6731.5</v>
      </c>
      <c r="H22" s="65" t="n">
        <f aca="false">IF(H$5="A",Inputs_Actuals!H180,G22)</f>
        <v>6731.5</v>
      </c>
      <c r="I22" s="65" t="n">
        <f aca="false">IF(I$5="A",Inputs_Actuals!I180,H22)</f>
        <v>6731.5</v>
      </c>
      <c r="J22" s="65" t="n">
        <f aca="false">IF(J$5="A",Inputs_Actuals!J180,I22)</f>
        <v>6731.5</v>
      </c>
      <c r="K22" s="65" t="n">
        <f aca="false">IF(K$5="A",Inputs_Actuals!K180,J22)</f>
        <v>6731.5</v>
      </c>
      <c r="L22" s="65" t="n">
        <f aca="false">IF(L$5="A",Inputs_Actuals!L180,K22)</f>
        <v>6731.5</v>
      </c>
      <c r="M22" s="65" t="n">
        <f aca="false">IF(M$5="A",Inputs_Actuals!M180,L22)</f>
        <v>6731.5</v>
      </c>
      <c r="N22" s="65" t="n">
        <f aca="false">IF(N$5="A",Inputs_Actuals!N180,M22)</f>
        <v>6731.5</v>
      </c>
      <c r="O22" s="65" t="n">
        <f aca="false">IF(O$5="A",Inputs_Actuals!O180,N22*Account_Register!$M$20*(1+Assumptions!O$200)*(1+Account_Register!$N$20*Assumptions!$F$171))</f>
        <v>6552.105525</v>
      </c>
      <c r="P22" s="65" t="n">
        <f aca="false">IF(P$5="A",Inputs_Actuals!P180,O22)</f>
        <v>6552.105525</v>
      </c>
      <c r="Q22" s="65" t="n">
        <f aca="false">IF(Q$5="A",Inputs_Actuals!Q180,P22)</f>
        <v>6552.105525</v>
      </c>
      <c r="R22" s="65" t="n">
        <f aca="false">IF(R$5="A",Inputs_Actuals!R180,Q22)</f>
        <v>6552.105525</v>
      </c>
      <c r="S22" s="65" t="n">
        <f aca="false">IF(S$5="A",Inputs_Actuals!S180,R22)</f>
        <v>6552.105525</v>
      </c>
      <c r="T22" s="65" t="n">
        <f aca="false">IF(T$5="A",Inputs_Actuals!T180,S22)</f>
        <v>6552.105525</v>
      </c>
      <c r="U22" s="65" t="n">
        <f aca="false">IF(U$5="A",Inputs_Actuals!U180,T22)</f>
        <v>6552.105525</v>
      </c>
      <c r="V22" s="65" t="n">
        <f aca="false">IF(V$5="A",Inputs_Actuals!V180,U22)</f>
        <v>6552.105525</v>
      </c>
      <c r="W22" s="65" t="n">
        <f aca="false">IF(W$5="A",Inputs_Actuals!W180,V22)</f>
        <v>6552.105525</v>
      </c>
      <c r="X22" s="65" t="n">
        <f aca="false">IF(X$5="A",Inputs_Actuals!X180,W22)</f>
        <v>6552.105525</v>
      </c>
      <c r="Y22" s="65" t="n">
        <f aca="false">IF(Y$5="A",Inputs_Actuals!Y180,X22)</f>
        <v>6552.105525</v>
      </c>
      <c r="Z22" s="65" t="n">
        <f aca="false">IF(Z$5="A",Inputs_Actuals!Z180,Y22)</f>
        <v>6552.105525</v>
      </c>
      <c r="AA22" s="65" t="n">
        <f aca="false">IF(AA$5="A",Inputs_Actuals!AA180,Z22*Account_Register!$M$20*(1+Assumptions!AA$200)*(1+Account_Register!$N$20*Assumptions!$F$171))</f>
        <v>6377.49191275875</v>
      </c>
      <c r="AB22" s="65" t="n">
        <f aca="false">IF(AB$5="A",Inputs_Actuals!AB180,AA22)</f>
        <v>6377.49191275875</v>
      </c>
    </row>
    <row r="23" customFormat="false" ht="15" hidden="false" customHeight="false" outlineLevel="0" collapsed="false">
      <c r="A23" s="28" t="s">
        <v>980</v>
      </c>
      <c r="B23" s="63" t="s">
        <v>966</v>
      </c>
      <c r="C23" s="64" t="n">
        <f aca="false">P23</f>
        <v>8576.83</v>
      </c>
      <c r="D23" s="64" t="n">
        <f aca="false">AB23</f>
        <v>8812.04956275</v>
      </c>
      <c r="E23" s="65" t="n">
        <f aca="false">IF(E$5="A",Inputs_Actuals!E181,Account_Register!$H$21*Account_Register!$M$21*(1+Assumptions!E$200)*(1+Account_Register!$N$21*Assumptions!$F$171))</f>
        <v>7876.83</v>
      </c>
      <c r="F23" s="65" t="n">
        <f aca="false">IF(F$5="A",Inputs_Actuals!F181,E23)</f>
        <v>7876.83</v>
      </c>
      <c r="G23" s="65" t="n">
        <f aca="false">IF(G$5="A",Inputs_Actuals!G181,F23)</f>
        <v>8576.83</v>
      </c>
      <c r="H23" s="65" t="n">
        <f aca="false">IF(H$5="A",Inputs_Actuals!H181,G23)</f>
        <v>8576.83</v>
      </c>
      <c r="I23" s="65" t="n">
        <f aca="false">IF(I$5="A",Inputs_Actuals!I181,H23)</f>
        <v>8576.83</v>
      </c>
      <c r="J23" s="65" t="n">
        <f aca="false">IF(J$5="A",Inputs_Actuals!J181,I23)</f>
        <v>8576.83</v>
      </c>
      <c r="K23" s="65" t="n">
        <f aca="false">IF(K$5="A",Inputs_Actuals!K181,J23)</f>
        <v>8576.83</v>
      </c>
      <c r="L23" s="65" t="n">
        <f aca="false">IF(L$5="A",Inputs_Actuals!L181,K23)</f>
        <v>8576.83</v>
      </c>
      <c r="M23" s="65" t="n">
        <f aca="false">IF(M$5="A",Inputs_Actuals!M181,L23)</f>
        <v>8576.83</v>
      </c>
      <c r="N23" s="65" t="n">
        <f aca="false">IF(N$5="A",Inputs_Actuals!N181,M23)</f>
        <v>8576.83</v>
      </c>
      <c r="O23" s="65" t="n">
        <f aca="false">IF(O$5="A",Inputs_Actuals!O181,N23)</f>
        <v>8576.83</v>
      </c>
      <c r="P23" s="65" t="n">
        <f aca="false">IF(P$5="A",Inputs_Actuals!P181,O23)</f>
        <v>8576.83</v>
      </c>
      <c r="Q23" s="65" t="n">
        <f aca="false">IF(Q$5="A",Inputs_Actuals!Q181,P23*Account_Register!$M$21*(1+Assumptions!Q$200)*(1+Account_Register!$N$21*Assumptions!$F$171))</f>
        <v>8812.04956275</v>
      </c>
      <c r="R23" s="65" t="n">
        <f aca="false">IF(R$5="A",Inputs_Actuals!R181,Q23)</f>
        <v>8812.04956275</v>
      </c>
      <c r="S23" s="65" t="n">
        <f aca="false">IF(S$5="A",Inputs_Actuals!S181,R23)</f>
        <v>8812.04956275</v>
      </c>
      <c r="T23" s="65" t="n">
        <f aca="false">IF(T$5="A",Inputs_Actuals!T181,S23)</f>
        <v>8812.04956275</v>
      </c>
      <c r="U23" s="65" t="n">
        <f aca="false">IF(U$5="A",Inputs_Actuals!U181,T23)</f>
        <v>8812.04956275</v>
      </c>
      <c r="V23" s="65" t="n">
        <f aca="false">IF(V$5="A",Inputs_Actuals!V181,U23)</f>
        <v>8812.04956275</v>
      </c>
      <c r="W23" s="65" t="n">
        <f aca="false">IF(W$5="A",Inputs_Actuals!W181,V23)</f>
        <v>8812.04956275</v>
      </c>
      <c r="X23" s="65" t="n">
        <f aca="false">IF(X$5="A",Inputs_Actuals!X181,W23)</f>
        <v>8812.04956275</v>
      </c>
      <c r="Y23" s="65" t="n">
        <f aca="false">IF(Y$5="A",Inputs_Actuals!Y181,X23)</f>
        <v>8812.04956275</v>
      </c>
      <c r="Z23" s="65" t="n">
        <f aca="false">IF(Z$5="A",Inputs_Actuals!Z181,Y23)</f>
        <v>8812.04956275</v>
      </c>
      <c r="AA23" s="65" t="n">
        <f aca="false">IF(AA$5="A",Inputs_Actuals!AA181,Z23)</f>
        <v>8812.04956275</v>
      </c>
      <c r="AB23" s="65" t="n">
        <f aca="false">IF(AB$5="A",Inputs_Actuals!AB181,AA23)</f>
        <v>8812.04956275</v>
      </c>
    </row>
    <row r="24" customFormat="false" ht="15" hidden="false" customHeight="false" outlineLevel="0" collapsed="false">
      <c r="A24" s="28" t="s">
        <v>981</v>
      </c>
      <c r="B24" s="63" t="s">
        <v>966</v>
      </c>
      <c r="C24" s="64" t="n">
        <f aca="false">P24</f>
        <v>5396.12</v>
      </c>
      <c r="D24" s="64" t="n">
        <f aca="false">AB24</f>
        <v>5375.70108192</v>
      </c>
      <c r="E24" s="65" t="n">
        <f aca="false">IF(E$5="A",Inputs_Actuals!E182,Account_Register!$H$22)</f>
        <v>5000</v>
      </c>
      <c r="F24" s="65" t="n">
        <f aca="false">IF(F$5="A",Inputs_Actuals!F182,E24)</f>
        <v>5000</v>
      </c>
      <c r="G24" s="65" t="n">
        <f aca="false">IF(G$5="A",Inputs_Actuals!G182,F24*Account_Register!$M$22*(1+Assumptions!G$200)*(1+Account_Register!$N$22*Assumptions!$F$171))</f>
        <v>5396.12</v>
      </c>
      <c r="H24" s="65" t="n">
        <f aca="false">IF(H$5="A",Inputs_Actuals!H182,G24)</f>
        <v>5396.12</v>
      </c>
      <c r="I24" s="65" t="n">
        <f aca="false">IF(I$5="A",Inputs_Actuals!I182,H24)</f>
        <v>5396.12</v>
      </c>
      <c r="J24" s="65" t="n">
        <f aca="false">IF(J$5="A",Inputs_Actuals!J182,I24)</f>
        <v>5396.12</v>
      </c>
      <c r="K24" s="65" t="n">
        <f aca="false">IF(K$5="A",Inputs_Actuals!K182,J24)</f>
        <v>5396.12</v>
      </c>
      <c r="L24" s="65" t="n">
        <f aca="false">IF(L$5="A",Inputs_Actuals!L182,K24)</f>
        <v>5396.12</v>
      </c>
      <c r="M24" s="65" t="n">
        <f aca="false">IF(M$5="A",Inputs_Actuals!M182,L24)</f>
        <v>5396.12</v>
      </c>
      <c r="N24" s="65" t="n">
        <f aca="false">IF(N$5="A",Inputs_Actuals!N182,M24)</f>
        <v>5396.12</v>
      </c>
      <c r="O24" s="65" t="n">
        <f aca="false">IF(O$5="A",Inputs_Actuals!O182,N24)</f>
        <v>5396.12</v>
      </c>
      <c r="P24" s="65" t="n">
        <f aca="false">IF(P$5="A",Inputs_Actuals!P182,O24)</f>
        <v>5396.12</v>
      </c>
      <c r="Q24" s="65" t="n">
        <f aca="false">IF(Q$5="A",Inputs_Actuals!Q182,P24)</f>
        <v>5396.12</v>
      </c>
      <c r="R24" s="65" t="n">
        <f aca="false">IF(R$5="A",Inputs_Actuals!R182,Q24)</f>
        <v>5396.12</v>
      </c>
      <c r="S24" s="65" t="n">
        <f aca="false">IF(S$5="A",Inputs_Actuals!S182,R24*Account_Register!$M$22*(1+Assumptions!S$200)*(1+Account_Register!$N$22*Assumptions!$F$171))</f>
        <v>5375.70108192</v>
      </c>
      <c r="T24" s="65" t="n">
        <f aca="false">IF(T$5="A",Inputs_Actuals!T182,S24)</f>
        <v>5375.70108192</v>
      </c>
      <c r="U24" s="65" t="n">
        <f aca="false">IF(U$5="A",Inputs_Actuals!U182,T24)</f>
        <v>5375.70108192</v>
      </c>
      <c r="V24" s="65" t="n">
        <f aca="false">IF(V$5="A",Inputs_Actuals!V182,U24)</f>
        <v>5375.70108192</v>
      </c>
      <c r="W24" s="65" t="n">
        <f aca="false">IF(W$5="A",Inputs_Actuals!W182,V24)</f>
        <v>5375.70108192</v>
      </c>
      <c r="X24" s="65" t="n">
        <f aca="false">IF(X$5="A",Inputs_Actuals!X182,W24)</f>
        <v>5375.70108192</v>
      </c>
      <c r="Y24" s="65" t="n">
        <f aca="false">IF(Y$5="A",Inputs_Actuals!Y182,X24)</f>
        <v>5375.70108192</v>
      </c>
      <c r="Z24" s="65" t="n">
        <f aca="false">IF(Z$5="A",Inputs_Actuals!Z182,Y24)</f>
        <v>5375.70108192</v>
      </c>
      <c r="AA24" s="65" t="n">
        <f aca="false">IF(AA$5="A",Inputs_Actuals!AA182,Z24)</f>
        <v>5375.70108192</v>
      </c>
      <c r="AB24" s="65" t="n">
        <f aca="false">IF(AB$5="A",Inputs_Actuals!AB182,AA24)</f>
        <v>5375.70108192</v>
      </c>
    </row>
    <row r="25" customFormat="false" ht="15" hidden="false" customHeight="false" outlineLevel="0" collapsed="false">
      <c r="A25" s="28" t="s">
        <v>982</v>
      </c>
      <c r="B25" s="63" t="s">
        <v>966</v>
      </c>
      <c r="C25" s="64" t="n">
        <f aca="false">P25</f>
        <v>4671.87</v>
      </c>
      <c r="D25" s="64" t="n">
        <f aca="false">AB25</f>
        <v>4704.23671536</v>
      </c>
      <c r="E25" s="65" t="n">
        <f aca="false">IF(E$5="A",Inputs_Actuals!E183,Account_Register!$H$23)</f>
        <v>4400</v>
      </c>
      <c r="F25" s="65" t="n">
        <f aca="false">IF(F$5="A",Inputs_Actuals!F183,E25)</f>
        <v>4400</v>
      </c>
      <c r="G25" s="65" t="n">
        <f aca="false">IF(G$5="A",Inputs_Actuals!G183,F25)</f>
        <v>4400</v>
      </c>
      <c r="H25" s="65" t="n">
        <f aca="false">IF(H$5="A",Inputs_Actuals!H183,G25)</f>
        <v>4400</v>
      </c>
      <c r="I25" s="65" t="n">
        <f aca="false">IF(I$5="A",Inputs_Actuals!I183,H25*Account_Register!$M$23*(1+Assumptions!I$200)*(1+Account_Register!$N$23*Assumptions!$F$171))</f>
        <v>4671.87</v>
      </c>
      <c r="J25" s="65" t="n">
        <f aca="false">IF(J$5="A",Inputs_Actuals!J183,I25)</f>
        <v>4671.87</v>
      </c>
      <c r="K25" s="65" t="n">
        <f aca="false">IF(K$5="A",Inputs_Actuals!K183,J25)</f>
        <v>4671.87</v>
      </c>
      <c r="L25" s="65" t="n">
        <f aca="false">IF(L$5="A",Inputs_Actuals!L183,K25)</f>
        <v>4671.87</v>
      </c>
      <c r="M25" s="65" t="n">
        <f aca="false">IF(M$5="A",Inputs_Actuals!M183,L25)</f>
        <v>4671.87</v>
      </c>
      <c r="N25" s="65" t="n">
        <f aca="false">IF(N$5="A",Inputs_Actuals!N183,M25)</f>
        <v>4671.87</v>
      </c>
      <c r="O25" s="65" t="n">
        <f aca="false">IF(O$5="A",Inputs_Actuals!O183,N25)</f>
        <v>4671.87</v>
      </c>
      <c r="P25" s="65" t="n">
        <f aca="false">IF(P$5="A",Inputs_Actuals!P183,O25)</f>
        <v>4671.87</v>
      </c>
      <c r="Q25" s="65" t="n">
        <f aca="false">IF(Q$5="A",Inputs_Actuals!Q183,P25)</f>
        <v>4671.87</v>
      </c>
      <c r="R25" s="65" t="n">
        <f aca="false">IF(R$5="A",Inputs_Actuals!R183,Q25)</f>
        <v>4671.87</v>
      </c>
      <c r="S25" s="65" t="n">
        <f aca="false">IF(S$5="A",Inputs_Actuals!S183,R25)</f>
        <v>4671.87</v>
      </c>
      <c r="T25" s="65" t="n">
        <f aca="false">IF(T$5="A",Inputs_Actuals!T183,S25)</f>
        <v>4671.87</v>
      </c>
      <c r="U25" s="65" t="n">
        <f aca="false">IF(U$5="A",Inputs_Actuals!U183,T25*Account_Register!$M$23*(1+Assumptions!U$200)*(1+Account_Register!$N$23*Assumptions!$F$171))</f>
        <v>4704.23671536</v>
      </c>
      <c r="V25" s="65" t="n">
        <f aca="false">IF(V$5="A",Inputs_Actuals!V183,U25)</f>
        <v>4704.23671536</v>
      </c>
      <c r="W25" s="65" t="n">
        <f aca="false">IF(W$5="A",Inputs_Actuals!W183,V25)</f>
        <v>4704.23671536</v>
      </c>
      <c r="X25" s="65" t="n">
        <f aca="false">IF(X$5="A",Inputs_Actuals!X183,W25)</f>
        <v>4704.23671536</v>
      </c>
      <c r="Y25" s="65" t="n">
        <f aca="false">IF(Y$5="A",Inputs_Actuals!Y183,X25)</f>
        <v>4704.23671536</v>
      </c>
      <c r="Z25" s="65" t="n">
        <f aca="false">IF(Z$5="A",Inputs_Actuals!Z183,Y25)</f>
        <v>4704.23671536</v>
      </c>
      <c r="AA25" s="65" t="n">
        <f aca="false">IF(AA$5="A",Inputs_Actuals!AA183,Z25)</f>
        <v>4704.23671536</v>
      </c>
      <c r="AB25" s="65" t="n">
        <f aca="false">IF(AB$5="A",Inputs_Actuals!AB183,AA25)</f>
        <v>4704.23671536</v>
      </c>
    </row>
    <row r="26" customFormat="false" ht="15" hidden="false" customHeight="false" outlineLevel="0" collapsed="false">
      <c r="A26" s="28" t="s">
        <v>983</v>
      </c>
      <c r="B26" s="63" t="s">
        <v>966</v>
      </c>
      <c r="C26" s="64" t="n">
        <f aca="false">P26</f>
        <v>5224.06</v>
      </c>
      <c r="D26" s="64" t="n">
        <f aca="false">AB26</f>
        <v>5260.25228768</v>
      </c>
      <c r="E26" s="65" t="n">
        <f aca="false">IF(E$5="A",Inputs_Actuals!E184,Account_Register!$H$24)</f>
        <v>4800</v>
      </c>
      <c r="F26" s="65" t="n">
        <f aca="false">IF(F$5="A",Inputs_Actuals!F184,E26)</f>
        <v>4800</v>
      </c>
      <c r="G26" s="65" t="n">
        <f aca="false">IF(G$5="A",Inputs_Actuals!G184,F26)</f>
        <v>4800</v>
      </c>
      <c r="H26" s="65" t="n">
        <f aca="false">IF(H$5="A",Inputs_Actuals!H184,G26)</f>
        <v>4800</v>
      </c>
      <c r="I26" s="65" t="n">
        <f aca="false">IF(I$5="A",Inputs_Actuals!I184,H26)</f>
        <v>4800</v>
      </c>
      <c r="J26" s="65" t="n">
        <f aca="false">IF(J$5="A",Inputs_Actuals!J184,I26)</f>
        <v>4800</v>
      </c>
      <c r="K26" s="65" t="n">
        <f aca="false">IF(K$5="A",Inputs_Actuals!K184,J26*Account_Register!$M$24*(1+Assumptions!K$200)*(1+Account_Register!$N$24*Assumptions!$F$171))</f>
        <v>5224.06</v>
      </c>
      <c r="L26" s="65" t="n">
        <f aca="false">IF(L$5="A",Inputs_Actuals!L184,K26)</f>
        <v>5224.06</v>
      </c>
      <c r="M26" s="65" t="n">
        <f aca="false">IF(M$5="A",Inputs_Actuals!M184,L26)</f>
        <v>5224.06</v>
      </c>
      <c r="N26" s="65" t="n">
        <f aca="false">IF(N$5="A",Inputs_Actuals!N184,M26)</f>
        <v>5224.06</v>
      </c>
      <c r="O26" s="65" t="n">
        <f aca="false">IF(O$5="A",Inputs_Actuals!O184,N26)</f>
        <v>5224.06</v>
      </c>
      <c r="P26" s="65" t="n">
        <f aca="false">IF(P$5="A",Inputs_Actuals!P184,O26)</f>
        <v>5224.06</v>
      </c>
      <c r="Q26" s="65" t="n">
        <f aca="false">IF(Q$5="A",Inputs_Actuals!Q184,P26)</f>
        <v>5224.06</v>
      </c>
      <c r="R26" s="65" t="n">
        <f aca="false">IF(R$5="A",Inputs_Actuals!R184,Q26)</f>
        <v>5224.06</v>
      </c>
      <c r="S26" s="65" t="n">
        <f aca="false">IF(S$5="A",Inputs_Actuals!S184,R26)</f>
        <v>5224.06</v>
      </c>
      <c r="T26" s="65" t="n">
        <f aca="false">IF(T$5="A",Inputs_Actuals!T184,S26)</f>
        <v>5224.06</v>
      </c>
      <c r="U26" s="65" t="n">
        <f aca="false">IF(U$5="A",Inputs_Actuals!U184,T26)</f>
        <v>5224.06</v>
      </c>
      <c r="V26" s="65" t="n">
        <f aca="false">IF(V$5="A",Inputs_Actuals!V184,U26)</f>
        <v>5224.06</v>
      </c>
      <c r="W26" s="65" t="n">
        <f aca="false">IF(W$5="A",Inputs_Actuals!W184,V26*Account_Register!$M$24*(1+Assumptions!W$200)*(1+Account_Register!$N$24*Assumptions!$F$171))</f>
        <v>5260.25228768</v>
      </c>
      <c r="X26" s="65" t="n">
        <f aca="false">IF(X$5="A",Inputs_Actuals!X184,W26)</f>
        <v>5260.25228768</v>
      </c>
      <c r="Y26" s="65" t="n">
        <f aca="false">IF(Y$5="A",Inputs_Actuals!Y184,X26)</f>
        <v>5260.25228768</v>
      </c>
      <c r="Z26" s="65" t="n">
        <f aca="false">IF(Z$5="A",Inputs_Actuals!Z184,Y26)</f>
        <v>5260.25228768</v>
      </c>
      <c r="AA26" s="65" t="n">
        <f aca="false">IF(AA$5="A",Inputs_Actuals!AA184,Z26)</f>
        <v>5260.25228768</v>
      </c>
      <c r="AB26" s="65" t="n">
        <f aca="false">IF(AB$5="A",Inputs_Actuals!AB184,AA26)</f>
        <v>5260.25228768</v>
      </c>
    </row>
    <row r="27" customFormat="false" ht="15" hidden="false" customHeight="false" outlineLevel="0" collapsed="false">
      <c r="A27" s="28" t="s">
        <v>984</v>
      </c>
      <c r="B27" s="63" t="s">
        <v>966</v>
      </c>
      <c r="C27" s="64" t="n">
        <f aca="false">P27</f>
        <v>6164.55</v>
      </c>
      <c r="D27" s="64" t="n">
        <f aca="false">AB27</f>
        <v>6333.61278375</v>
      </c>
      <c r="E27" s="65" t="n">
        <f aca="false">IF(E$5="A",Inputs_Actuals!E185,Account_Register!$H$25)</f>
        <v>6000</v>
      </c>
      <c r="F27" s="65" t="n">
        <f aca="false">IF(F$5="A",Inputs_Actuals!F185,E27)</f>
        <v>6000</v>
      </c>
      <c r="G27" s="65" t="n">
        <f aca="false">IF(G$5="A",Inputs_Actuals!G185,F27)</f>
        <v>6000</v>
      </c>
      <c r="H27" s="65" t="n">
        <f aca="false">IF(H$5="A",Inputs_Actuals!H185,G27)</f>
        <v>6000</v>
      </c>
      <c r="I27" s="65" t="n">
        <f aca="false">IF(I$5="A",Inputs_Actuals!I185,H27)</f>
        <v>6000</v>
      </c>
      <c r="J27" s="65" t="n">
        <f aca="false">IF(J$5="A",Inputs_Actuals!J185,I27)</f>
        <v>6000</v>
      </c>
      <c r="K27" s="65" t="n">
        <f aca="false">IF(K$5="A",Inputs_Actuals!K185,J27)</f>
        <v>6000</v>
      </c>
      <c r="L27" s="65" t="n">
        <f aca="false">IF(L$5="A",Inputs_Actuals!L185,K27)</f>
        <v>6000</v>
      </c>
      <c r="M27" s="65" t="n">
        <f aca="false">IF(M$5="A",Inputs_Actuals!M185,L27*Account_Register!$M$25*(1+Assumptions!M$200)*(1+Account_Register!$N$25*Assumptions!$F$171))</f>
        <v>6164.55</v>
      </c>
      <c r="N27" s="65" t="n">
        <f aca="false">IF(N$5="A",Inputs_Actuals!N185,M27)</f>
        <v>6164.55</v>
      </c>
      <c r="O27" s="65" t="n">
        <f aca="false">IF(O$5="A",Inputs_Actuals!O185,N27)</f>
        <v>6164.55</v>
      </c>
      <c r="P27" s="65" t="n">
        <f aca="false">IF(P$5="A",Inputs_Actuals!P185,O27)</f>
        <v>6164.55</v>
      </c>
      <c r="Q27" s="65" t="n">
        <f aca="false">IF(Q$5="A",Inputs_Actuals!Q185,P27)</f>
        <v>6164.55</v>
      </c>
      <c r="R27" s="65" t="n">
        <f aca="false">IF(R$5="A",Inputs_Actuals!R185,Q27)</f>
        <v>6164.55</v>
      </c>
      <c r="S27" s="65" t="n">
        <f aca="false">IF(S$5="A",Inputs_Actuals!S185,R27)</f>
        <v>6164.55</v>
      </c>
      <c r="T27" s="65" t="n">
        <f aca="false">IF(T$5="A",Inputs_Actuals!T185,S27)</f>
        <v>6164.55</v>
      </c>
      <c r="U27" s="65" t="n">
        <f aca="false">IF(U$5="A",Inputs_Actuals!U185,T27)</f>
        <v>6164.55</v>
      </c>
      <c r="V27" s="65" t="n">
        <f aca="false">IF(V$5="A",Inputs_Actuals!V185,U27)</f>
        <v>6164.55</v>
      </c>
      <c r="W27" s="65" t="n">
        <f aca="false">IF(W$5="A",Inputs_Actuals!W185,V27)</f>
        <v>6164.55</v>
      </c>
      <c r="X27" s="65" t="n">
        <f aca="false">IF(X$5="A",Inputs_Actuals!X185,W27)</f>
        <v>6164.55</v>
      </c>
      <c r="Y27" s="65" t="n">
        <f aca="false">IF(Y$5="A",Inputs_Actuals!Y185,X27*Account_Register!$M$25*(1+Assumptions!Y$200)*(1+Account_Register!$N$25*Assumptions!$F$171))</f>
        <v>6333.61278375</v>
      </c>
      <c r="Z27" s="65" t="n">
        <f aca="false">IF(Z$5="A",Inputs_Actuals!Z185,Y27)</f>
        <v>6333.61278375</v>
      </c>
      <c r="AA27" s="65" t="n">
        <f aca="false">IF(AA$5="A",Inputs_Actuals!AA185,Z27)</f>
        <v>6333.61278375</v>
      </c>
      <c r="AB27" s="65" t="n">
        <f aca="false">IF(AB$5="A",Inputs_Actuals!AB185,AA27)</f>
        <v>6333.61278375</v>
      </c>
    </row>
    <row r="28" customFormat="false" ht="15" hidden="false" customHeight="false" outlineLevel="0" collapsed="false">
      <c r="A28" s="28" t="s">
        <v>985</v>
      </c>
      <c r="B28" s="63" t="s">
        <v>966</v>
      </c>
      <c r="C28" s="64" t="n">
        <f aca="false">P28</f>
        <v>4375.852</v>
      </c>
      <c r="D28" s="64" t="n">
        <f aca="false">AB28</f>
        <v>4453.04202928</v>
      </c>
      <c r="E28" s="65" t="n">
        <f aca="false">IF(E$5="A",Inputs_Actuals!E186,Account_Register!$H$26)</f>
        <v>4300</v>
      </c>
      <c r="F28" s="65" t="n">
        <f aca="false">IF(F$5="A",Inputs_Actuals!F186,E28)</f>
        <v>4300</v>
      </c>
      <c r="G28" s="65" t="n">
        <f aca="false">IF(G$5="A",Inputs_Actuals!G186,F28)</f>
        <v>4300</v>
      </c>
      <c r="H28" s="65" t="n">
        <f aca="false">IF(H$5="A",Inputs_Actuals!H186,G28)</f>
        <v>4300</v>
      </c>
      <c r="I28" s="65" t="n">
        <f aca="false">IF(I$5="A",Inputs_Actuals!I186,H28)</f>
        <v>4300</v>
      </c>
      <c r="J28" s="65" t="n">
        <f aca="false">IF(J$5="A",Inputs_Actuals!J186,I28)</f>
        <v>4300</v>
      </c>
      <c r="K28" s="65" t="n">
        <f aca="false">IF(K$5="A",Inputs_Actuals!K186,J28)</f>
        <v>4300</v>
      </c>
      <c r="L28" s="65" t="n">
        <f aca="false">IF(L$5="A",Inputs_Actuals!L186,K28)</f>
        <v>4300</v>
      </c>
      <c r="M28" s="65" t="n">
        <f aca="false">IF(M$5="A",Inputs_Actuals!M186,L28)</f>
        <v>4300</v>
      </c>
      <c r="N28" s="65" t="n">
        <f aca="false">IF(N$5="A",Inputs_Actuals!N186,M28)</f>
        <v>4300</v>
      </c>
      <c r="O28" s="65" t="n">
        <f aca="false">IF(O$5="A",Inputs_Actuals!O186,N28*Account_Register!$M$26*(1+Assumptions!O$200)*(1+Account_Register!$N$26*Assumptions!$F$171))</f>
        <v>4375.852</v>
      </c>
      <c r="P28" s="65" t="n">
        <f aca="false">IF(P$5="A",Inputs_Actuals!P186,O28)</f>
        <v>4375.852</v>
      </c>
      <c r="Q28" s="65" t="n">
        <f aca="false">IF(Q$5="A",Inputs_Actuals!Q186,P28)</f>
        <v>4375.852</v>
      </c>
      <c r="R28" s="65" t="n">
        <f aca="false">IF(R$5="A",Inputs_Actuals!R186,Q28)</f>
        <v>4375.852</v>
      </c>
      <c r="S28" s="65" t="n">
        <f aca="false">IF(S$5="A",Inputs_Actuals!S186,R28)</f>
        <v>4375.852</v>
      </c>
      <c r="T28" s="65" t="n">
        <f aca="false">IF(T$5="A",Inputs_Actuals!T186,S28)</f>
        <v>4375.852</v>
      </c>
      <c r="U28" s="65" t="n">
        <f aca="false">IF(U$5="A",Inputs_Actuals!U186,T28)</f>
        <v>4375.852</v>
      </c>
      <c r="V28" s="65" t="n">
        <f aca="false">IF(V$5="A",Inputs_Actuals!V186,U28)</f>
        <v>4375.852</v>
      </c>
      <c r="W28" s="65" t="n">
        <f aca="false">IF(W$5="A",Inputs_Actuals!W186,V28)</f>
        <v>4375.852</v>
      </c>
      <c r="X28" s="65" t="n">
        <f aca="false">IF(X$5="A",Inputs_Actuals!X186,W28)</f>
        <v>4375.852</v>
      </c>
      <c r="Y28" s="65" t="n">
        <f aca="false">IF(Y$5="A",Inputs_Actuals!Y186,X28)</f>
        <v>4375.852</v>
      </c>
      <c r="Z28" s="65" t="n">
        <f aca="false">IF(Z$5="A",Inputs_Actuals!Z186,Y28)</f>
        <v>4375.852</v>
      </c>
      <c r="AA28" s="65" t="n">
        <f aca="false">IF(AA$5="A",Inputs_Actuals!AA186,Z28*Account_Register!$M$26*(1+Assumptions!AA$200)*(1+Account_Register!$N$26*Assumptions!$F$171))</f>
        <v>4453.04202928</v>
      </c>
      <c r="AB28" s="65" t="n">
        <f aca="false">IF(AB$5="A",Inputs_Actuals!AB186,AA28)</f>
        <v>4453.04202928</v>
      </c>
    </row>
    <row r="29" customFormat="false" ht="15" hidden="false" customHeight="false" outlineLevel="0" collapsed="false">
      <c r="A29" s="28" t="s">
        <v>986</v>
      </c>
      <c r="B29" s="63" t="s">
        <v>966</v>
      </c>
      <c r="C29" s="64" t="n">
        <f aca="false">P29</f>
        <v>11500</v>
      </c>
      <c r="D29" s="64" t="n">
        <f aca="false">AB29</f>
        <v>11815.3875</v>
      </c>
      <c r="E29" s="74" t="n">
        <f aca="false">0</f>
        <v>0</v>
      </c>
      <c r="F29" s="74" t="n">
        <f aca="false">0</f>
        <v>0</v>
      </c>
      <c r="G29" s="74" t="n">
        <f aca="false">0</f>
        <v>0</v>
      </c>
      <c r="H29" s="65" t="n">
        <f aca="false">IF(H$5="A",Inputs_Actuals!H187,Account_Register!$H$27)</f>
        <v>11500</v>
      </c>
      <c r="I29" s="65" t="n">
        <f aca="false">IF(I$5="A",Inputs_Actuals!I187,H29)</f>
        <v>11500</v>
      </c>
      <c r="J29" s="65" t="n">
        <f aca="false">IF(J$5="A",Inputs_Actuals!J187,I29)</f>
        <v>11500</v>
      </c>
      <c r="K29" s="65" t="n">
        <f aca="false">IF(K$5="A",Inputs_Actuals!K187,J29)</f>
        <v>11500</v>
      </c>
      <c r="L29" s="65" t="n">
        <f aca="false">IF(L$5="A",Inputs_Actuals!L187,K29)</f>
        <v>11500</v>
      </c>
      <c r="M29" s="65" t="n">
        <f aca="false">IF(M$5="A",Inputs_Actuals!M187,L29)</f>
        <v>11500</v>
      </c>
      <c r="N29" s="65" t="n">
        <f aca="false">IF(N$5="A",Inputs_Actuals!N187,M29)</f>
        <v>11500</v>
      </c>
      <c r="O29" s="65" t="n">
        <f aca="false">IF(O$5="A",Inputs_Actuals!O187,N29)</f>
        <v>11500</v>
      </c>
      <c r="P29" s="65" t="n">
        <f aca="false">IF(P$5="A",Inputs_Actuals!P187,O29)</f>
        <v>11500</v>
      </c>
      <c r="Q29" s="65" t="n">
        <f aca="false">IF(Q$5="A",Inputs_Actuals!Q187,P29)</f>
        <v>11500</v>
      </c>
      <c r="R29" s="65" t="n">
        <f aca="false">IF(R$5="A",Inputs_Actuals!R187,Q29)</f>
        <v>11500</v>
      </c>
      <c r="S29" s="65" t="n">
        <f aca="false">IF(S$5="A",Inputs_Actuals!S187,R29)</f>
        <v>11500</v>
      </c>
      <c r="T29" s="65" t="n">
        <f aca="false">IF(T$5="A",Inputs_Actuals!T187,S29*Account_Register!$M$27*(1+Assumptions!T$200)*(1+Account_Register!$N$27*Assumptions!$F$171))</f>
        <v>11815.3875</v>
      </c>
      <c r="U29" s="65" t="n">
        <f aca="false">IF(U$5="A",Inputs_Actuals!U187,T29)</f>
        <v>11815.3875</v>
      </c>
      <c r="V29" s="65" t="n">
        <f aca="false">IF(V$5="A",Inputs_Actuals!V187,U29)</f>
        <v>11815.3875</v>
      </c>
      <c r="W29" s="65" t="n">
        <f aca="false">IF(W$5="A",Inputs_Actuals!W187,V29)</f>
        <v>11815.3875</v>
      </c>
      <c r="X29" s="65" t="n">
        <f aca="false">IF(X$5="A",Inputs_Actuals!X187,W29)</f>
        <v>11815.3875</v>
      </c>
      <c r="Y29" s="65" t="n">
        <f aca="false">IF(Y$5="A",Inputs_Actuals!Y187,X29)</f>
        <v>11815.3875</v>
      </c>
      <c r="Z29" s="65" t="n">
        <f aca="false">IF(Z$5="A",Inputs_Actuals!Z187,Y29)</f>
        <v>11815.3875</v>
      </c>
      <c r="AA29" s="65" t="n">
        <f aca="false">IF(AA$5="A",Inputs_Actuals!AA187,Z29)</f>
        <v>11815.3875</v>
      </c>
      <c r="AB29" s="65" t="n">
        <f aca="false">IF(AB$5="A",Inputs_Actuals!AB187,AA29)</f>
        <v>11815.3875</v>
      </c>
    </row>
    <row r="30" customFormat="false" ht="15" hidden="false" customHeight="false" outlineLevel="0" collapsed="false">
      <c r="A30" s="28" t="s">
        <v>987</v>
      </c>
      <c r="B30" s="63" t="s">
        <v>966</v>
      </c>
      <c r="C30" s="64" t="n">
        <f aca="false">P30</f>
        <v>5800</v>
      </c>
      <c r="D30" s="64" t="n">
        <f aca="false">AB30</f>
        <v>5902.312</v>
      </c>
      <c r="E30" s="74" t="n">
        <f aca="false">0</f>
        <v>0</v>
      </c>
      <c r="F30" s="74" t="n">
        <f aca="false">0</f>
        <v>0</v>
      </c>
      <c r="G30" s="74" t="n">
        <f aca="false">0</f>
        <v>0</v>
      </c>
      <c r="H30" s="74" t="n">
        <f aca="false">0</f>
        <v>0</v>
      </c>
      <c r="I30" s="74" t="n">
        <f aca="false">0</f>
        <v>0</v>
      </c>
      <c r="J30" s="74" t="n">
        <f aca="false">0</f>
        <v>0</v>
      </c>
      <c r="K30" s="65" t="n">
        <f aca="false">IF(K$5="A",Inputs_Actuals!K188,Account_Register!$H$28)</f>
        <v>5800</v>
      </c>
      <c r="L30" s="65" t="n">
        <f aca="false">IF(L$5="A",Inputs_Actuals!L188,K30)</f>
        <v>5800</v>
      </c>
      <c r="M30" s="65" t="n">
        <f aca="false">IF(M$5="A",Inputs_Actuals!M188,L30)</f>
        <v>5800</v>
      </c>
      <c r="N30" s="65" t="n">
        <f aca="false">IF(N$5="A",Inputs_Actuals!N188,M30)</f>
        <v>5800</v>
      </c>
      <c r="O30" s="65" t="n">
        <f aca="false">IF(O$5="A",Inputs_Actuals!O188,N30)</f>
        <v>5800</v>
      </c>
      <c r="P30" s="65" t="n">
        <f aca="false">IF(P$5="A",Inputs_Actuals!P188,O30)</f>
        <v>5800</v>
      </c>
      <c r="Q30" s="65" t="n">
        <f aca="false">IF(Q$5="A",Inputs_Actuals!Q188,P30)</f>
        <v>5800</v>
      </c>
      <c r="R30" s="65" t="n">
        <f aca="false">IF(R$5="A",Inputs_Actuals!R188,Q30)</f>
        <v>5800</v>
      </c>
      <c r="S30" s="65" t="n">
        <f aca="false">IF(S$5="A",Inputs_Actuals!S188,R30)</f>
        <v>5800</v>
      </c>
      <c r="T30" s="65" t="n">
        <f aca="false">IF(T$5="A",Inputs_Actuals!T188,S30)</f>
        <v>5800</v>
      </c>
      <c r="U30" s="65" t="n">
        <f aca="false">IF(U$5="A",Inputs_Actuals!U188,T30)</f>
        <v>5800</v>
      </c>
      <c r="V30" s="65" t="n">
        <f aca="false">IF(V$5="A",Inputs_Actuals!V188,U30)</f>
        <v>5800</v>
      </c>
      <c r="W30" s="65" t="n">
        <f aca="false">IF(W$5="A",Inputs_Actuals!W188,V30*Account_Register!$M$28*(1+Assumptions!W$200)*(1+Account_Register!$N$28*Assumptions!$F$171))</f>
        <v>5902.312</v>
      </c>
      <c r="X30" s="65" t="n">
        <f aca="false">IF(X$5="A",Inputs_Actuals!X188,W30)</f>
        <v>5902.312</v>
      </c>
      <c r="Y30" s="65" t="n">
        <f aca="false">IF(Y$5="A",Inputs_Actuals!Y188,X30)</f>
        <v>5902.312</v>
      </c>
      <c r="Z30" s="65" t="n">
        <f aca="false">IF(Z$5="A",Inputs_Actuals!Z188,Y30)</f>
        <v>5902.312</v>
      </c>
      <c r="AA30" s="65" t="n">
        <f aca="false">IF(AA$5="A",Inputs_Actuals!AA188,Z30)</f>
        <v>5902.312</v>
      </c>
      <c r="AB30" s="65" t="n">
        <f aca="false">IF(AB$5="A",Inputs_Actuals!AB188,AA30)</f>
        <v>5902.312</v>
      </c>
    </row>
    <row r="31" customFormat="false" ht="15" hidden="false" customHeight="false" outlineLevel="0" collapsed="false">
      <c r="A31" s="28" t="s">
        <v>988</v>
      </c>
      <c r="B31" s="63" t="s">
        <v>989</v>
      </c>
      <c r="C31" s="64" t="n">
        <f aca="false">P31</f>
        <v>4320</v>
      </c>
      <c r="D31" s="64" t="n">
        <f aca="false">AB31</f>
        <v>4438.476</v>
      </c>
      <c r="E31" s="65" t="n">
        <f aca="false">IF(Assumptions!E$189&lt;Account_Register!$O$29,0,IF(Assumptions!E$189=Account_Register!$O$29,Account_Register!$H$29*Account_Register!$M$29,IF(MOD(Assumptions!E$189-Account_Register!$O$29,12)=0,0*Assumptions!$C$137*(1+Assumptions!E$200)*(1+Account_Register!$N$29*Assumptions!$F$171),0)))</f>
        <v>0</v>
      </c>
      <c r="F31" s="65" t="n">
        <f aca="false">IF(Assumptions!F$189&lt;Account_Register!$O$29,0,IF(Assumptions!F$189=Account_Register!$O$29,Account_Register!$H$29*Account_Register!$M$29,IF(MOD(Assumptions!F$189-Account_Register!$O$29,12)=0,E31*Assumptions!$C$137*(1+Assumptions!F$200)*(1+Account_Register!$N$29*Assumptions!$F$171),E31)))</f>
        <v>0</v>
      </c>
      <c r="G31" s="65" t="n">
        <f aca="false">IF(Assumptions!G$189&lt;Account_Register!$O$29,0,IF(Assumptions!G$189=Account_Register!$O$29,Account_Register!$H$29*Account_Register!$M$29,IF(MOD(Assumptions!G$189-Account_Register!$O$29,12)=0,F31*Assumptions!$C$137*(1+Assumptions!G$200)*(1+Account_Register!$N$29*Assumptions!$F$171),F31)))</f>
        <v>0</v>
      </c>
      <c r="H31" s="65" t="n">
        <f aca="false">IF(Assumptions!H$189&lt;Account_Register!$O$29,0,IF(Assumptions!H$189=Account_Register!$O$29,Account_Register!$H$29*Account_Register!$M$29,IF(MOD(Assumptions!H$189-Account_Register!$O$29,12)=0,G31*Assumptions!$C$137*(1+Assumptions!H$200)*(1+Account_Register!$N$29*Assumptions!$F$171),G31)))</f>
        <v>0</v>
      </c>
      <c r="I31" s="65" t="n">
        <f aca="false">IF(Assumptions!I$189&lt;Account_Register!$O$29,0,IF(Assumptions!I$189=Account_Register!$O$29,Account_Register!$H$29*Account_Register!$M$29,IF(MOD(Assumptions!I$189-Account_Register!$O$29,12)=0,H31*Assumptions!$C$137*(1+Assumptions!I$200)*(1+Account_Register!$N$29*Assumptions!$F$171),H31)))</f>
        <v>0</v>
      </c>
      <c r="J31" s="65" t="n">
        <f aca="false">IF(Assumptions!J$189&lt;Account_Register!$O$29,0,IF(Assumptions!J$189=Account_Register!$O$29,Account_Register!$H$29*Account_Register!$M$29,IF(MOD(Assumptions!J$189-Account_Register!$O$29,12)=0,I31*Assumptions!$C$137*(1+Assumptions!J$200)*(1+Account_Register!$N$29*Assumptions!$F$171),I31)))</f>
        <v>0</v>
      </c>
      <c r="K31" s="65" t="n">
        <f aca="false">IF(Assumptions!K$189&lt;Account_Register!$O$29,0,IF(Assumptions!K$189=Account_Register!$O$29,Account_Register!$H$29*Account_Register!$M$29,IF(MOD(Assumptions!K$189-Account_Register!$O$29,12)=0,J31*Assumptions!$C$137*(1+Assumptions!K$200)*(1+Account_Register!$N$29*Assumptions!$F$171),J31)))</f>
        <v>0</v>
      </c>
      <c r="L31" s="65" t="n">
        <f aca="false">IF(Assumptions!L$189&lt;Account_Register!$O$29,0,IF(Assumptions!L$189=Account_Register!$O$29,Account_Register!$H$29*Account_Register!$M$29,IF(MOD(Assumptions!L$189-Account_Register!$O$29,12)=0,K31*Assumptions!$C$137*(1+Assumptions!L$200)*(1+Account_Register!$N$29*Assumptions!$F$171),K31)))</f>
        <v>0</v>
      </c>
      <c r="M31" s="65" t="n">
        <f aca="false">IF(Assumptions!M$189&lt;Account_Register!$O$29,0,IF(Assumptions!M$189=Account_Register!$O$29,Account_Register!$H$29*Account_Register!$M$29,IF(MOD(Assumptions!M$189-Account_Register!$O$29,12)=0,L31*Assumptions!$C$137*(1+Assumptions!M$200)*(1+Account_Register!$N$29*Assumptions!$F$171),L31)))</f>
        <v>0</v>
      </c>
      <c r="N31" s="65" t="n">
        <f aca="false">IF(Assumptions!N$189&lt;Account_Register!$O$29,0,IF(Assumptions!N$189=Account_Register!$O$29,Account_Register!$H$29*Account_Register!$M$29,IF(MOD(Assumptions!N$189-Account_Register!$O$29,12)=0,M31*Assumptions!$C$137*(1+Assumptions!N$200)*(1+Account_Register!$N$29*Assumptions!$F$171),M31)))</f>
        <v>0</v>
      </c>
      <c r="O31" s="65" t="n">
        <f aca="false">IF(Assumptions!O$189&lt;Account_Register!$O$29,0,IF(Assumptions!O$189=Account_Register!$O$29,Account_Register!$H$29*Account_Register!$M$29,IF(MOD(Assumptions!O$189-Account_Register!$O$29,12)=0,N31*Assumptions!$C$137*(1+Assumptions!O$200)*(1+Account_Register!$N$29*Assumptions!$F$171),N31)))</f>
        <v>4320</v>
      </c>
      <c r="P31" s="65" t="n">
        <f aca="false">IF(Assumptions!P$189&lt;Account_Register!$O$29,0,IF(Assumptions!P$189=Account_Register!$O$29,Account_Register!$H$29*Account_Register!$M$29,IF(MOD(Assumptions!P$189-Account_Register!$O$29,12)=0,O31*Assumptions!$C$137*(1+Assumptions!P$200)*(1+Account_Register!$N$29*Assumptions!$F$171),O31)))</f>
        <v>4320</v>
      </c>
      <c r="Q31" s="65" t="n">
        <f aca="false">IF(Assumptions!Q$189&lt;Account_Register!$O$29,0,IF(Assumptions!Q$189=Account_Register!$O$29,Account_Register!$H$29*Account_Register!$M$29,IF(MOD(Assumptions!Q$189-Account_Register!$O$29,12)=0,P31*Assumptions!$C$137*(1+Assumptions!Q$200)*(1+Account_Register!$N$29*Assumptions!$F$171),P31)))</f>
        <v>4320</v>
      </c>
      <c r="R31" s="65" t="n">
        <f aca="false">IF(Assumptions!R$189&lt;Account_Register!$O$29,0,IF(Assumptions!R$189=Account_Register!$O$29,Account_Register!$H$29*Account_Register!$M$29,IF(MOD(Assumptions!R$189-Account_Register!$O$29,12)=0,Q31*Assumptions!$C$137*(1+Assumptions!R$200)*(1+Account_Register!$N$29*Assumptions!$F$171),Q31)))</f>
        <v>4320</v>
      </c>
      <c r="S31" s="65" t="n">
        <f aca="false">IF(Assumptions!S$189&lt;Account_Register!$O$29,0,IF(Assumptions!S$189=Account_Register!$O$29,Account_Register!$H$29*Account_Register!$M$29,IF(MOD(Assumptions!S$189-Account_Register!$O$29,12)=0,R31*Assumptions!$C$137*(1+Assumptions!S$200)*(1+Account_Register!$N$29*Assumptions!$F$171),R31)))</f>
        <v>4320</v>
      </c>
      <c r="T31" s="65" t="n">
        <f aca="false">IF(Assumptions!T$189&lt;Account_Register!$O$29,0,IF(Assumptions!T$189=Account_Register!$O$29,Account_Register!$H$29*Account_Register!$M$29,IF(MOD(Assumptions!T$189-Account_Register!$O$29,12)=0,S31*Assumptions!$C$137*(1+Assumptions!T$200)*(1+Account_Register!$N$29*Assumptions!$F$171),S31)))</f>
        <v>4320</v>
      </c>
      <c r="U31" s="65" t="n">
        <f aca="false">IF(Assumptions!U$189&lt;Account_Register!$O$29,0,IF(Assumptions!U$189=Account_Register!$O$29,Account_Register!$H$29*Account_Register!$M$29,IF(MOD(Assumptions!U$189-Account_Register!$O$29,12)=0,T31*Assumptions!$C$137*(1+Assumptions!U$200)*(1+Account_Register!$N$29*Assumptions!$F$171),T31)))</f>
        <v>4320</v>
      </c>
      <c r="V31" s="65" t="n">
        <f aca="false">IF(Assumptions!V$189&lt;Account_Register!$O$29,0,IF(Assumptions!V$189=Account_Register!$O$29,Account_Register!$H$29*Account_Register!$M$29,IF(MOD(Assumptions!V$189-Account_Register!$O$29,12)=0,U31*Assumptions!$C$137*(1+Assumptions!V$200)*(1+Account_Register!$N$29*Assumptions!$F$171),U31)))</f>
        <v>4320</v>
      </c>
      <c r="W31" s="65" t="n">
        <f aca="false">IF(Assumptions!W$189&lt;Account_Register!$O$29,0,IF(Assumptions!W$189=Account_Register!$O$29,Account_Register!$H$29*Account_Register!$M$29,IF(MOD(Assumptions!W$189-Account_Register!$O$29,12)=0,V31*Assumptions!$C$137*(1+Assumptions!W$200)*(1+Account_Register!$N$29*Assumptions!$F$171),V31)))</f>
        <v>4320</v>
      </c>
      <c r="X31" s="65" t="n">
        <f aca="false">IF(Assumptions!X$189&lt;Account_Register!$O$29,0,IF(Assumptions!X$189=Account_Register!$O$29,Account_Register!$H$29*Account_Register!$M$29,IF(MOD(Assumptions!X$189-Account_Register!$O$29,12)=0,W31*Assumptions!$C$137*(1+Assumptions!X$200)*(1+Account_Register!$N$29*Assumptions!$F$171),W31)))</f>
        <v>4320</v>
      </c>
      <c r="Y31" s="65" t="n">
        <f aca="false">IF(Assumptions!Y$189&lt;Account_Register!$O$29,0,IF(Assumptions!Y$189=Account_Register!$O$29,Account_Register!$H$29*Account_Register!$M$29,IF(MOD(Assumptions!Y$189-Account_Register!$O$29,12)=0,X31*Assumptions!$C$137*(1+Assumptions!Y$200)*(1+Account_Register!$N$29*Assumptions!$F$171),X31)))</f>
        <v>4320</v>
      </c>
      <c r="Z31" s="65" t="n">
        <f aca="false">IF(Assumptions!Z$189&lt;Account_Register!$O$29,0,IF(Assumptions!Z$189=Account_Register!$O$29,Account_Register!$H$29*Account_Register!$M$29,IF(MOD(Assumptions!Z$189-Account_Register!$O$29,12)=0,Y31*Assumptions!$C$137*(1+Assumptions!Z$200)*(1+Account_Register!$N$29*Assumptions!$F$171),Y31)))</f>
        <v>4320</v>
      </c>
      <c r="AA31" s="65" t="n">
        <f aca="false">IF(Assumptions!AA$189&lt;Account_Register!$O$29,0,IF(Assumptions!AA$189=Account_Register!$O$29,Account_Register!$H$29*Account_Register!$M$29,IF(MOD(Assumptions!AA$189-Account_Register!$O$29,12)=0,Z31*Assumptions!$C$137*(1+Assumptions!AA$200)*(1+Account_Register!$N$29*Assumptions!$F$171),Z31)))</f>
        <v>4438.476</v>
      </c>
      <c r="AB31" s="65" t="n">
        <f aca="false">IF(Assumptions!AB$189&lt;Account_Register!$O$29,0,IF(Assumptions!AB$189=Account_Register!$O$29,Account_Register!$H$29*Account_Register!$M$29,IF(MOD(Assumptions!AB$189-Account_Register!$O$29,12)=0,AA31*Assumptions!$C$137*(1+Assumptions!AB$200)*(1+Account_Register!$N$29*Assumptions!$F$171),AA31)))</f>
        <v>4438.476</v>
      </c>
    </row>
    <row r="32" customFormat="false" ht="15" hidden="false" customHeight="false" outlineLevel="0" collapsed="false">
      <c r="A32" s="28" t="s">
        <v>990</v>
      </c>
      <c r="B32" s="63" t="s">
        <v>989</v>
      </c>
      <c r="C32" s="64" t="n">
        <f aca="false">P32</f>
        <v>4500</v>
      </c>
      <c r="D32" s="64" t="n">
        <f aca="false">AB32</f>
        <v>4623.4125</v>
      </c>
      <c r="E32" s="65" t="n">
        <f aca="false">IF(Assumptions!E$189&lt;Account_Register!$O$30,0,IF(Assumptions!E$189=Account_Register!$O$30,Account_Register!$H$30*Account_Register!$M$30,IF(MOD(Assumptions!E$189-Account_Register!$O$30,12)=0,0*Assumptions!$C$137*(1+Assumptions!E$200)*(1+Account_Register!$N$30*Assumptions!$F$171),0)))</f>
        <v>0</v>
      </c>
      <c r="F32" s="65" t="n">
        <f aca="false">IF(Assumptions!F$189&lt;Account_Register!$O$30,0,IF(Assumptions!F$189=Account_Register!$O$30,Account_Register!$H$30*Account_Register!$M$30,IF(MOD(Assumptions!F$189-Account_Register!$O$30,12)=0,E32*Assumptions!$C$137*(1+Assumptions!F$200)*(1+Account_Register!$N$30*Assumptions!$F$171),E32)))</f>
        <v>0</v>
      </c>
      <c r="G32" s="65" t="n">
        <f aca="false">IF(Assumptions!G$189&lt;Account_Register!$O$30,0,IF(Assumptions!G$189=Account_Register!$O$30,Account_Register!$H$30*Account_Register!$M$30,IF(MOD(Assumptions!G$189-Account_Register!$O$30,12)=0,F32*Assumptions!$C$137*(1+Assumptions!G$200)*(1+Account_Register!$N$30*Assumptions!$F$171),F32)))</f>
        <v>0</v>
      </c>
      <c r="H32" s="65" t="n">
        <f aca="false">IF(Assumptions!H$189&lt;Account_Register!$O$30,0,IF(Assumptions!H$189=Account_Register!$O$30,Account_Register!$H$30*Account_Register!$M$30,IF(MOD(Assumptions!H$189-Account_Register!$O$30,12)=0,G32*Assumptions!$C$137*(1+Assumptions!H$200)*(1+Account_Register!$N$30*Assumptions!$F$171),G32)))</f>
        <v>0</v>
      </c>
      <c r="I32" s="65" t="n">
        <f aca="false">IF(Assumptions!I$189&lt;Account_Register!$O$30,0,IF(Assumptions!I$189=Account_Register!$O$30,Account_Register!$H$30*Account_Register!$M$30,IF(MOD(Assumptions!I$189-Account_Register!$O$30,12)=0,H32*Assumptions!$C$137*(1+Assumptions!I$200)*(1+Account_Register!$N$30*Assumptions!$F$171),H32)))</f>
        <v>0</v>
      </c>
      <c r="J32" s="65" t="n">
        <f aca="false">IF(Assumptions!J$189&lt;Account_Register!$O$30,0,IF(Assumptions!J$189=Account_Register!$O$30,Account_Register!$H$30*Account_Register!$M$30,IF(MOD(Assumptions!J$189-Account_Register!$O$30,12)=0,I32*Assumptions!$C$137*(1+Assumptions!J$200)*(1+Account_Register!$N$30*Assumptions!$F$171),I32)))</f>
        <v>0</v>
      </c>
      <c r="K32" s="65" t="n">
        <f aca="false">IF(Assumptions!K$189&lt;Account_Register!$O$30,0,IF(Assumptions!K$189=Account_Register!$O$30,Account_Register!$H$30*Account_Register!$M$30,IF(MOD(Assumptions!K$189-Account_Register!$O$30,12)=0,J32*Assumptions!$C$137*(1+Assumptions!K$200)*(1+Account_Register!$N$30*Assumptions!$F$171),J32)))</f>
        <v>0</v>
      </c>
      <c r="L32" s="65" t="n">
        <f aca="false">IF(Assumptions!L$189&lt;Account_Register!$O$30,0,IF(Assumptions!L$189=Account_Register!$O$30,Account_Register!$H$30*Account_Register!$M$30,IF(MOD(Assumptions!L$189-Account_Register!$O$30,12)=0,K32*Assumptions!$C$137*(1+Assumptions!L$200)*(1+Account_Register!$N$30*Assumptions!$F$171),K32)))</f>
        <v>0</v>
      </c>
      <c r="M32" s="65" t="n">
        <f aca="false">IF(Assumptions!M$189&lt;Account_Register!$O$30,0,IF(Assumptions!M$189=Account_Register!$O$30,Account_Register!$H$30*Account_Register!$M$30,IF(MOD(Assumptions!M$189-Account_Register!$O$30,12)=0,L32*Assumptions!$C$137*(1+Assumptions!M$200)*(1+Account_Register!$N$30*Assumptions!$F$171),L32)))</f>
        <v>0</v>
      </c>
      <c r="N32" s="65" t="n">
        <f aca="false">IF(Assumptions!N$189&lt;Account_Register!$O$30,0,IF(Assumptions!N$189=Account_Register!$O$30,Account_Register!$H$30*Account_Register!$M$30,IF(MOD(Assumptions!N$189-Account_Register!$O$30,12)=0,M32*Assumptions!$C$137*(1+Assumptions!N$200)*(1+Account_Register!$N$30*Assumptions!$F$171),M32)))</f>
        <v>0</v>
      </c>
      <c r="O32" s="65" t="n">
        <f aca="false">IF(Assumptions!O$189&lt;Account_Register!$O$30,0,IF(Assumptions!O$189=Account_Register!$O$30,Account_Register!$H$30*Account_Register!$M$30,IF(MOD(Assumptions!O$189-Account_Register!$O$30,12)=0,N32*Assumptions!$C$137*(1+Assumptions!O$200)*(1+Account_Register!$N$30*Assumptions!$F$171),N32)))</f>
        <v>0</v>
      </c>
      <c r="P32" s="65" t="n">
        <f aca="false">IF(Assumptions!P$189&lt;Account_Register!$O$30,0,IF(Assumptions!P$189=Account_Register!$O$30,Account_Register!$H$30*Account_Register!$M$30,IF(MOD(Assumptions!P$189-Account_Register!$O$30,12)=0,O32*Assumptions!$C$137*(1+Assumptions!P$200)*(1+Account_Register!$N$30*Assumptions!$F$171),O32)))</f>
        <v>4500</v>
      </c>
      <c r="Q32" s="65" t="n">
        <f aca="false">IF(Assumptions!Q$189&lt;Account_Register!$O$30,0,IF(Assumptions!Q$189=Account_Register!$O$30,Account_Register!$H$30*Account_Register!$M$30,IF(MOD(Assumptions!Q$189-Account_Register!$O$30,12)=0,P32*Assumptions!$C$137*(1+Assumptions!Q$200)*(1+Account_Register!$N$30*Assumptions!$F$171),P32)))</f>
        <v>4500</v>
      </c>
      <c r="R32" s="65" t="n">
        <f aca="false">IF(Assumptions!R$189&lt;Account_Register!$O$30,0,IF(Assumptions!R$189=Account_Register!$O$30,Account_Register!$H$30*Account_Register!$M$30,IF(MOD(Assumptions!R$189-Account_Register!$O$30,12)=0,Q32*Assumptions!$C$137*(1+Assumptions!R$200)*(1+Account_Register!$N$30*Assumptions!$F$171),Q32)))</f>
        <v>4500</v>
      </c>
      <c r="S32" s="65" t="n">
        <f aca="false">IF(Assumptions!S$189&lt;Account_Register!$O$30,0,IF(Assumptions!S$189=Account_Register!$O$30,Account_Register!$H$30*Account_Register!$M$30,IF(MOD(Assumptions!S$189-Account_Register!$O$30,12)=0,R32*Assumptions!$C$137*(1+Assumptions!S$200)*(1+Account_Register!$N$30*Assumptions!$F$171),R32)))</f>
        <v>4500</v>
      </c>
      <c r="T32" s="65" t="n">
        <f aca="false">IF(Assumptions!T$189&lt;Account_Register!$O$30,0,IF(Assumptions!T$189=Account_Register!$O$30,Account_Register!$H$30*Account_Register!$M$30,IF(MOD(Assumptions!T$189-Account_Register!$O$30,12)=0,S32*Assumptions!$C$137*(1+Assumptions!T$200)*(1+Account_Register!$N$30*Assumptions!$F$171),S32)))</f>
        <v>4500</v>
      </c>
      <c r="U32" s="65" t="n">
        <f aca="false">IF(Assumptions!U$189&lt;Account_Register!$O$30,0,IF(Assumptions!U$189=Account_Register!$O$30,Account_Register!$H$30*Account_Register!$M$30,IF(MOD(Assumptions!U$189-Account_Register!$O$30,12)=0,T32*Assumptions!$C$137*(1+Assumptions!U$200)*(1+Account_Register!$N$30*Assumptions!$F$171),T32)))</f>
        <v>4500</v>
      </c>
      <c r="V32" s="65" t="n">
        <f aca="false">IF(Assumptions!V$189&lt;Account_Register!$O$30,0,IF(Assumptions!V$189=Account_Register!$O$30,Account_Register!$H$30*Account_Register!$M$30,IF(MOD(Assumptions!V$189-Account_Register!$O$30,12)=0,U32*Assumptions!$C$137*(1+Assumptions!V$200)*(1+Account_Register!$N$30*Assumptions!$F$171),U32)))</f>
        <v>4500</v>
      </c>
      <c r="W32" s="65" t="n">
        <f aca="false">IF(Assumptions!W$189&lt;Account_Register!$O$30,0,IF(Assumptions!W$189=Account_Register!$O$30,Account_Register!$H$30*Account_Register!$M$30,IF(MOD(Assumptions!W$189-Account_Register!$O$30,12)=0,V32*Assumptions!$C$137*(1+Assumptions!W$200)*(1+Account_Register!$N$30*Assumptions!$F$171),V32)))</f>
        <v>4500</v>
      </c>
      <c r="X32" s="65" t="n">
        <f aca="false">IF(Assumptions!X$189&lt;Account_Register!$O$30,0,IF(Assumptions!X$189=Account_Register!$O$30,Account_Register!$H$30*Account_Register!$M$30,IF(MOD(Assumptions!X$189-Account_Register!$O$30,12)=0,W32*Assumptions!$C$137*(1+Assumptions!X$200)*(1+Account_Register!$N$30*Assumptions!$F$171),W32)))</f>
        <v>4500</v>
      </c>
      <c r="Y32" s="65" t="n">
        <f aca="false">IF(Assumptions!Y$189&lt;Account_Register!$O$30,0,IF(Assumptions!Y$189=Account_Register!$O$30,Account_Register!$H$30*Account_Register!$M$30,IF(MOD(Assumptions!Y$189-Account_Register!$O$30,12)=0,X32*Assumptions!$C$137*(1+Assumptions!Y$200)*(1+Account_Register!$N$30*Assumptions!$F$171),X32)))</f>
        <v>4500</v>
      </c>
      <c r="Z32" s="65" t="n">
        <f aca="false">IF(Assumptions!Z$189&lt;Account_Register!$O$30,0,IF(Assumptions!Z$189=Account_Register!$O$30,Account_Register!$H$30*Account_Register!$M$30,IF(MOD(Assumptions!Z$189-Account_Register!$O$30,12)=0,Y32*Assumptions!$C$137*(1+Assumptions!Z$200)*(1+Account_Register!$N$30*Assumptions!$F$171),Y32)))</f>
        <v>4500</v>
      </c>
      <c r="AA32" s="65" t="n">
        <f aca="false">IF(Assumptions!AA$189&lt;Account_Register!$O$30,0,IF(Assumptions!AA$189=Account_Register!$O$30,Account_Register!$H$30*Account_Register!$M$30,IF(MOD(Assumptions!AA$189-Account_Register!$O$30,12)=0,Z32*Assumptions!$C$137*(1+Assumptions!AA$200)*(1+Account_Register!$N$30*Assumptions!$F$171),Z32)))</f>
        <v>4500</v>
      </c>
      <c r="AB32" s="65" t="n">
        <f aca="false">IF(Assumptions!AB$189&lt;Account_Register!$O$30,0,IF(Assumptions!AB$189=Account_Register!$O$30,Account_Register!$H$30*Account_Register!$M$30,IF(MOD(Assumptions!AB$189-Account_Register!$O$30,12)=0,AA32*Assumptions!$C$137*(1+Assumptions!AB$200)*(1+Account_Register!$N$30*Assumptions!$F$171),AA32)))</f>
        <v>4623.4125</v>
      </c>
    </row>
    <row r="33" customFormat="false" ht="15" hidden="false" customHeight="false" outlineLevel="0" collapsed="false">
      <c r="A33" s="28" t="s">
        <v>991</v>
      </c>
      <c r="B33" s="63" t="s">
        <v>989</v>
      </c>
      <c r="C33" s="64" t="n">
        <f aca="false">P33</f>
        <v>0</v>
      </c>
      <c r="D33" s="64" t="n">
        <f aca="false">AB33</f>
        <v>2925</v>
      </c>
      <c r="E33" s="65" t="n">
        <f aca="false">IF(Assumptions!E$189&lt;Account_Register!$O$31,0,IF(Assumptions!E$189=Account_Register!$O$31,Account_Register!$H$31*Account_Register!$M$31,IF(MOD(Assumptions!E$189-Account_Register!$O$31,12)=0,0*Assumptions!$C$137*(1+Assumptions!E$200)*(1+Account_Register!$N$31*Assumptions!$F$171),0)))</f>
        <v>0</v>
      </c>
      <c r="F33" s="65" t="n">
        <f aca="false">IF(Assumptions!F$189&lt;Account_Register!$O$31,0,IF(Assumptions!F$189=Account_Register!$O$31,Account_Register!$H$31*Account_Register!$M$31,IF(MOD(Assumptions!F$189-Account_Register!$O$31,12)=0,E33*Assumptions!$C$137*(1+Assumptions!F$200)*(1+Account_Register!$N$31*Assumptions!$F$171),E33)))</f>
        <v>0</v>
      </c>
      <c r="G33" s="65" t="n">
        <f aca="false">IF(Assumptions!G$189&lt;Account_Register!$O$31,0,IF(Assumptions!G$189=Account_Register!$O$31,Account_Register!$H$31*Account_Register!$M$31,IF(MOD(Assumptions!G$189-Account_Register!$O$31,12)=0,F33*Assumptions!$C$137*(1+Assumptions!G$200)*(1+Account_Register!$N$31*Assumptions!$F$171),F33)))</f>
        <v>0</v>
      </c>
      <c r="H33" s="65" t="n">
        <f aca="false">IF(Assumptions!H$189&lt;Account_Register!$O$31,0,IF(Assumptions!H$189=Account_Register!$O$31,Account_Register!$H$31*Account_Register!$M$31,IF(MOD(Assumptions!H$189-Account_Register!$O$31,12)=0,G33*Assumptions!$C$137*(1+Assumptions!H$200)*(1+Account_Register!$N$31*Assumptions!$F$171),G33)))</f>
        <v>0</v>
      </c>
      <c r="I33" s="65" t="n">
        <f aca="false">IF(Assumptions!I$189&lt;Account_Register!$O$31,0,IF(Assumptions!I$189=Account_Register!$O$31,Account_Register!$H$31*Account_Register!$M$31,IF(MOD(Assumptions!I$189-Account_Register!$O$31,12)=0,H33*Assumptions!$C$137*(1+Assumptions!I$200)*(1+Account_Register!$N$31*Assumptions!$F$171),H33)))</f>
        <v>0</v>
      </c>
      <c r="J33" s="65" t="n">
        <f aca="false">IF(Assumptions!J$189&lt;Account_Register!$O$31,0,IF(Assumptions!J$189=Account_Register!$O$31,Account_Register!$H$31*Account_Register!$M$31,IF(MOD(Assumptions!J$189-Account_Register!$O$31,12)=0,I33*Assumptions!$C$137*(1+Assumptions!J$200)*(1+Account_Register!$N$31*Assumptions!$F$171),I33)))</f>
        <v>0</v>
      </c>
      <c r="K33" s="65" t="n">
        <f aca="false">IF(Assumptions!K$189&lt;Account_Register!$O$31,0,IF(Assumptions!K$189=Account_Register!$O$31,Account_Register!$H$31*Account_Register!$M$31,IF(MOD(Assumptions!K$189-Account_Register!$O$31,12)=0,J33*Assumptions!$C$137*(1+Assumptions!K$200)*(1+Account_Register!$N$31*Assumptions!$F$171),J33)))</f>
        <v>0</v>
      </c>
      <c r="L33" s="65" t="n">
        <f aca="false">IF(Assumptions!L$189&lt;Account_Register!$O$31,0,IF(Assumptions!L$189=Account_Register!$O$31,Account_Register!$H$31*Account_Register!$M$31,IF(MOD(Assumptions!L$189-Account_Register!$O$31,12)=0,K33*Assumptions!$C$137*(1+Assumptions!L$200)*(1+Account_Register!$N$31*Assumptions!$F$171),K33)))</f>
        <v>0</v>
      </c>
      <c r="M33" s="65" t="n">
        <f aca="false">IF(Assumptions!M$189&lt;Account_Register!$O$31,0,IF(Assumptions!M$189=Account_Register!$O$31,Account_Register!$H$31*Account_Register!$M$31,IF(MOD(Assumptions!M$189-Account_Register!$O$31,12)=0,L33*Assumptions!$C$137*(1+Assumptions!M$200)*(1+Account_Register!$N$31*Assumptions!$F$171),L33)))</f>
        <v>0</v>
      </c>
      <c r="N33" s="65" t="n">
        <f aca="false">IF(Assumptions!N$189&lt;Account_Register!$O$31,0,IF(Assumptions!N$189=Account_Register!$O$31,Account_Register!$H$31*Account_Register!$M$31,IF(MOD(Assumptions!N$189-Account_Register!$O$31,12)=0,M33*Assumptions!$C$137*(1+Assumptions!N$200)*(1+Account_Register!$N$31*Assumptions!$F$171),M33)))</f>
        <v>0</v>
      </c>
      <c r="O33" s="65" t="n">
        <f aca="false">IF(Assumptions!O$189&lt;Account_Register!$O$31,0,IF(Assumptions!O$189=Account_Register!$O$31,Account_Register!$H$31*Account_Register!$M$31,IF(MOD(Assumptions!O$189-Account_Register!$O$31,12)=0,N33*Assumptions!$C$137*(1+Assumptions!O$200)*(1+Account_Register!$N$31*Assumptions!$F$171),N33)))</f>
        <v>0</v>
      </c>
      <c r="P33" s="65" t="n">
        <f aca="false">IF(Assumptions!P$189&lt;Account_Register!$O$31,0,IF(Assumptions!P$189=Account_Register!$O$31,Account_Register!$H$31*Account_Register!$M$31,IF(MOD(Assumptions!P$189-Account_Register!$O$31,12)=0,O33*Assumptions!$C$137*(1+Assumptions!P$200)*(1+Account_Register!$N$31*Assumptions!$F$171),O33)))</f>
        <v>0</v>
      </c>
      <c r="Q33" s="65" t="n">
        <f aca="false">IF(Assumptions!Q$189&lt;Account_Register!$O$31,0,IF(Assumptions!Q$189=Account_Register!$O$31,Account_Register!$H$31*Account_Register!$M$31,IF(MOD(Assumptions!Q$189-Account_Register!$O$31,12)=0,P33*Assumptions!$C$137*(1+Assumptions!Q$200)*(1+Account_Register!$N$31*Assumptions!$F$171),P33)))</f>
        <v>2925</v>
      </c>
      <c r="R33" s="65" t="n">
        <f aca="false">IF(Assumptions!R$189&lt;Account_Register!$O$31,0,IF(Assumptions!R$189=Account_Register!$O$31,Account_Register!$H$31*Account_Register!$M$31,IF(MOD(Assumptions!R$189-Account_Register!$O$31,12)=0,Q33*Assumptions!$C$137*(1+Assumptions!R$200)*(1+Account_Register!$N$31*Assumptions!$F$171),Q33)))</f>
        <v>2925</v>
      </c>
      <c r="S33" s="65" t="n">
        <f aca="false">IF(Assumptions!S$189&lt;Account_Register!$O$31,0,IF(Assumptions!S$189=Account_Register!$O$31,Account_Register!$H$31*Account_Register!$M$31,IF(MOD(Assumptions!S$189-Account_Register!$O$31,12)=0,R33*Assumptions!$C$137*(1+Assumptions!S$200)*(1+Account_Register!$N$31*Assumptions!$F$171),R33)))</f>
        <v>2925</v>
      </c>
      <c r="T33" s="65" t="n">
        <f aca="false">IF(Assumptions!T$189&lt;Account_Register!$O$31,0,IF(Assumptions!T$189=Account_Register!$O$31,Account_Register!$H$31*Account_Register!$M$31,IF(MOD(Assumptions!T$189-Account_Register!$O$31,12)=0,S33*Assumptions!$C$137*(1+Assumptions!T$200)*(1+Account_Register!$N$31*Assumptions!$F$171),S33)))</f>
        <v>2925</v>
      </c>
      <c r="U33" s="65" t="n">
        <f aca="false">IF(Assumptions!U$189&lt;Account_Register!$O$31,0,IF(Assumptions!U$189=Account_Register!$O$31,Account_Register!$H$31*Account_Register!$M$31,IF(MOD(Assumptions!U$189-Account_Register!$O$31,12)=0,T33*Assumptions!$C$137*(1+Assumptions!U$200)*(1+Account_Register!$N$31*Assumptions!$F$171),T33)))</f>
        <v>2925</v>
      </c>
      <c r="V33" s="65" t="n">
        <f aca="false">IF(Assumptions!V$189&lt;Account_Register!$O$31,0,IF(Assumptions!V$189=Account_Register!$O$31,Account_Register!$H$31*Account_Register!$M$31,IF(MOD(Assumptions!V$189-Account_Register!$O$31,12)=0,U33*Assumptions!$C$137*(1+Assumptions!V$200)*(1+Account_Register!$N$31*Assumptions!$F$171),U33)))</f>
        <v>2925</v>
      </c>
      <c r="W33" s="65" t="n">
        <f aca="false">IF(Assumptions!W$189&lt;Account_Register!$O$31,0,IF(Assumptions!W$189=Account_Register!$O$31,Account_Register!$H$31*Account_Register!$M$31,IF(MOD(Assumptions!W$189-Account_Register!$O$31,12)=0,V33*Assumptions!$C$137*(1+Assumptions!W$200)*(1+Account_Register!$N$31*Assumptions!$F$171),V33)))</f>
        <v>2925</v>
      </c>
      <c r="X33" s="65" t="n">
        <f aca="false">IF(Assumptions!X$189&lt;Account_Register!$O$31,0,IF(Assumptions!X$189=Account_Register!$O$31,Account_Register!$H$31*Account_Register!$M$31,IF(MOD(Assumptions!X$189-Account_Register!$O$31,12)=0,W33*Assumptions!$C$137*(1+Assumptions!X$200)*(1+Account_Register!$N$31*Assumptions!$F$171),W33)))</f>
        <v>2925</v>
      </c>
      <c r="Y33" s="65" t="n">
        <f aca="false">IF(Assumptions!Y$189&lt;Account_Register!$O$31,0,IF(Assumptions!Y$189=Account_Register!$O$31,Account_Register!$H$31*Account_Register!$M$31,IF(MOD(Assumptions!Y$189-Account_Register!$O$31,12)=0,X33*Assumptions!$C$137*(1+Assumptions!Y$200)*(1+Account_Register!$N$31*Assumptions!$F$171),X33)))</f>
        <v>2925</v>
      </c>
      <c r="Z33" s="65" t="n">
        <f aca="false">IF(Assumptions!Z$189&lt;Account_Register!$O$31,0,IF(Assumptions!Z$189=Account_Register!$O$31,Account_Register!$H$31*Account_Register!$M$31,IF(MOD(Assumptions!Z$189-Account_Register!$O$31,12)=0,Y33*Assumptions!$C$137*(1+Assumptions!Z$200)*(1+Account_Register!$N$31*Assumptions!$F$171),Y33)))</f>
        <v>2925</v>
      </c>
      <c r="AA33" s="65" t="n">
        <f aca="false">IF(Assumptions!AA$189&lt;Account_Register!$O$31,0,IF(Assumptions!AA$189=Account_Register!$O$31,Account_Register!$H$31*Account_Register!$M$31,IF(MOD(Assumptions!AA$189-Account_Register!$O$31,12)=0,Z33*Assumptions!$C$137*(1+Assumptions!AA$200)*(1+Account_Register!$N$31*Assumptions!$F$171),Z33)))</f>
        <v>2925</v>
      </c>
      <c r="AB33" s="65" t="n">
        <f aca="false">IF(Assumptions!AB$189&lt;Account_Register!$O$31,0,IF(Assumptions!AB$189=Account_Register!$O$31,Account_Register!$H$31*Account_Register!$M$31,IF(MOD(Assumptions!AB$189-Account_Register!$O$31,12)=0,AA33*Assumptions!$C$137*(1+Assumptions!AB$200)*(1+Account_Register!$N$31*Assumptions!$F$171),AA33)))</f>
        <v>2925</v>
      </c>
    </row>
    <row r="34" customFormat="false" ht="15" hidden="false" customHeight="false" outlineLevel="0" collapsed="false">
      <c r="A34" s="28" t="s">
        <v>992</v>
      </c>
      <c r="B34" s="63" t="s">
        <v>989</v>
      </c>
      <c r="C34" s="64" t="n">
        <f aca="false">P34</f>
        <v>0</v>
      </c>
      <c r="D34" s="64" t="n">
        <f aca="false">AB34</f>
        <v>2700</v>
      </c>
      <c r="E34" s="65" t="n">
        <f aca="false">IF(Assumptions!E$189&lt;Account_Register!$O$32,0,IF(Assumptions!E$189=Account_Register!$O$32,Account_Register!$H$32*Account_Register!$M$32,IF(MOD(Assumptions!E$189-Account_Register!$O$32,12)=0,0*Assumptions!$C$137*(1+Assumptions!E$200)*(1+Account_Register!$N$32*Assumptions!$F$171),0)))</f>
        <v>0</v>
      </c>
      <c r="F34" s="65" t="n">
        <f aca="false">IF(Assumptions!F$189&lt;Account_Register!$O$32,0,IF(Assumptions!F$189=Account_Register!$O$32,Account_Register!$H$32*Account_Register!$M$32,IF(MOD(Assumptions!F$189-Account_Register!$O$32,12)=0,E34*Assumptions!$C$137*(1+Assumptions!F$200)*(1+Account_Register!$N$32*Assumptions!$F$171),E34)))</f>
        <v>0</v>
      </c>
      <c r="G34" s="65" t="n">
        <f aca="false">IF(Assumptions!G$189&lt;Account_Register!$O$32,0,IF(Assumptions!G$189=Account_Register!$O$32,Account_Register!$H$32*Account_Register!$M$32,IF(MOD(Assumptions!G$189-Account_Register!$O$32,12)=0,F34*Assumptions!$C$137*(1+Assumptions!G$200)*(1+Account_Register!$N$32*Assumptions!$F$171),F34)))</f>
        <v>0</v>
      </c>
      <c r="H34" s="65" t="n">
        <f aca="false">IF(Assumptions!H$189&lt;Account_Register!$O$32,0,IF(Assumptions!H$189=Account_Register!$O$32,Account_Register!$H$32*Account_Register!$M$32,IF(MOD(Assumptions!H$189-Account_Register!$O$32,12)=0,G34*Assumptions!$C$137*(1+Assumptions!H$200)*(1+Account_Register!$N$32*Assumptions!$F$171),G34)))</f>
        <v>0</v>
      </c>
      <c r="I34" s="65" t="n">
        <f aca="false">IF(Assumptions!I$189&lt;Account_Register!$O$32,0,IF(Assumptions!I$189=Account_Register!$O$32,Account_Register!$H$32*Account_Register!$M$32,IF(MOD(Assumptions!I$189-Account_Register!$O$32,12)=0,H34*Assumptions!$C$137*(1+Assumptions!I$200)*(1+Account_Register!$N$32*Assumptions!$F$171),H34)))</f>
        <v>0</v>
      </c>
      <c r="J34" s="65" t="n">
        <f aca="false">IF(Assumptions!J$189&lt;Account_Register!$O$32,0,IF(Assumptions!J$189=Account_Register!$O$32,Account_Register!$H$32*Account_Register!$M$32,IF(MOD(Assumptions!J$189-Account_Register!$O$32,12)=0,I34*Assumptions!$C$137*(1+Assumptions!J$200)*(1+Account_Register!$N$32*Assumptions!$F$171),I34)))</f>
        <v>0</v>
      </c>
      <c r="K34" s="65" t="n">
        <f aca="false">IF(Assumptions!K$189&lt;Account_Register!$O$32,0,IF(Assumptions!K$189=Account_Register!$O$32,Account_Register!$H$32*Account_Register!$M$32,IF(MOD(Assumptions!K$189-Account_Register!$O$32,12)=0,J34*Assumptions!$C$137*(1+Assumptions!K$200)*(1+Account_Register!$N$32*Assumptions!$F$171),J34)))</f>
        <v>0</v>
      </c>
      <c r="L34" s="65" t="n">
        <f aca="false">IF(Assumptions!L$189&lt;Account_Register!$O$32,0,IF(Assumptions!L$189=Account_Register!$O$32,Account_Register!$H$32*Account_Register!$M$32,IF(MOD(Assumptions!L$189-Account_Register!$O$32,12)=0,K34*Assumptions!$C$137*(1+Assumptions!L$200)*(1+Account_Register!$N$32*Assumptions!$F$171),K34)))</f>
        <v>0</v>
      </c>
      <c r="M34" s="65" t="n">
        <f aca="false">IF(Assumptions!M$189&lt;Account_Register!$O$32,0,IF(Assumptions!M$189=Account_Register!$O$32,Account_Register!$H$32*Account_Register!$M$32,IF(MOD(Assumptions!M$189-Account_Register!$O$32,12)=0,L34*Assumptions!$C$137*(1+Assumptions!M$200)*(1+Account_Register!$N$32*Assumptions!$F$171),L34)))</f>
        <v>0</v>
      </c>
      <c r="N34" s="65" t="n">
        <f aca="false">IF(Assumptions!N$189&lt;Account_Register!$O$32,0,IF(Assumptions!N$189=Account_Register!$O$32,Account_Register!$H$32*Account_Register!$M$32,IF(MOD(Assumptions!N$189-Account_Register!$O$32,12)=0,M34*Assumptions!$C$137*(1+Assumptions!N$200)*(1+Account_Register!$N$32*Assumptions!$F$171),M34)))</f>
        <v>0</v>
      </c>
      <c r="O34" s="65" t="n">
        <f aca="false">IF(Assumptions!O$189&lt;Account_Register!$O$32,0,IF(Assumptions!O$189=Account_Register!$O$32,Account_Register!$H$32*Account_Register!$M$32,IF(MOD(Assumptions!O$189-Account_Register!$O$32,12)=0,N34*Assumptions!$C$137*(1+Assumptions!O$200)*(1+Account_Register!$N$32*Assumptions!$F$171),N34)))</f>
        <v>0</v>
      </c>
      <c r="P34" s="65" t="n">
        <f aca="false">IF(Assumptions!P$189&lt;Account_Register!$O$32,0,IF(Assumptions!P$189=Account_Register!$O$32,Account_Register!$H$32*Account_Register!$M$32,IF(MOD(Assumptions!P$189-Account_Register!$O$32,12)=0,O34*Assumptions!$C$137*(1+Assumptions!P$200)*(1+Account_Register!$N$32*Assumptions!$F$171),O34)))</f>
        <v>0</v>
      </c>
      <c r="Q34" s="65" t="n">
        <f aca="false">IF(Assumptions!Q$189&lt;Account_Register!$O$32,0,IF(Assumptions!Q$189=Account_Register!$O$32,Account_Register!$H$32*Account_Register!$M$32,IF(MOD(Assumptions!Q$189-Account_Register!$O$32,12)=0,P34*Assumptions!$C$137*(1+Assumptions!Q$200)*(1+Account_Register!$N$32*Assumptions!$F$171),P34)))</f>
        <v>0</v>
      </c>
      <c r="R34" s="65" t="n">
        <f aca="false">IF(Assumptions!R$189&lt;Account_Register!$O$32,0,IF(Assumptions!R$189=Account_Register!$O$32,Account_Register!$H$32*Account_Register!$M$32,IF(MOD(Assumptions!R$189-Account_Register!$O$32,12)=0,Q34*Assumptions!$C$137*(1+Assumptions!R$200)*(1+Account_Register!$N$32*Assumptions!$F$171),Q34)))</f>
        <v>2700</v>
      </c>
      <c r="S34" s="65" t="n">
        <f aca="false">IF(Assumptions!S$189&lt;Account_Register!$O$32,0,IF(Assumptions!S$189=Account_Register!$O$32,Account_Register!$H$32*Account_Register!$M$32,IF(MOD(Assumptions!S$189-Account_Register!$O$32,12)=0,R34*Assumptions!$C$137*(1+Assumptions!S$200)*(1+Account_Register!$N$32*Assumptions!$F$171),R34)))</f>
        <v>2700</v>
      </c>
      <c r="T34" s="65" t="n">
        <f aca="false">IF(Assumptions!T$189&lt;Account_Register!$O$32,0,IF(Assumptions!T$189=Account_Register!$O$32,Account_Register!$H$32*Account_Register!$M$32,IF(MOD(Assumptions!T$189-Account_Register!$O$32,12)=0,S34*Assumptions!$C$137*(1+Assumptions!T$200)*(1+Account_Register!$N$32*Assumptions!$F$171),S34)))</f>
        <v>2700</v>
      </c>
      <c r="U34" s="65" t="n">
        <f aca="false">IF(Assumptions!U$189&lt;Account_Register!$O$32,0,IF(Assumptions!U$189=Account_Register!$O$32,Account_Register!$H$32*Account_Register!$M$32,IF(MOD(Assumptions!U$189-Account_Register!$O$32,12)=0,T34*Assumptions!$C$137*(1+Assumptions!U$200)*(1+Account_Register!$N$32*Assumptions!$F$171),T34)))</f>
        <v>2700</v>
      </c>
      <c r="V34" s="65" t="n">
        <f aca="false">IF(Assumptions!V$189&lt;Account_Register!$O$32,0,IF(Assumptions!V$189=Account_Register!$O$32,Account_Register!$H$32*Account_Register!$M$32,IF(MOD(Assumptions!V$189-Account_Register!$O$32,12)=0,U34*Assumptions!$C$137*(1+Assumptions!V$200)*(1+Account_Register!$N$32*Assumptions!$F$171),U34)))</f>
        <v>2700</v>
      </c>
      <c r="W34" s="65" t="n">
        <f aca="false">IF(Assumptions!W$189&lt;Account_Register!$O$32,0,IF(Assumptions!W$189=Account_Register!$O$32,Account_Register!$H$32*Account_Register!$M$32,IF(MOD(Assumptions!W$189-Account_Register!$O$32,12)=0,V34*Assumptions!$C$137*(1+Assumptions!W$200)*(1+Account_Register!$N$32*Assumptions!$F$171),V34)))</f>
        <v>2700</v>
      </c>
      <c r="X34" s="65" t="n">
        <f aca="false">IF(Assumptions!X$189&lt;Account_Register!$O$32,0,IF(Assumptions!X$189=Account_Register!$O$32,Account_Register!$H$32*Account_Register!$M$32,IF(MOD(Assumptions!X$189-Account_Register!$O$32,12)=0,W34*Assumptions!$C$137*(1+Assumptions!X$200)*(1+Account_Register!$N$32*Assumptions!$F$171),W34)))</f>
        <v>2700</v>
      </c>
      <c r="Y34" s="65" t="n">
        <f aca="false">IF(Assumptions!Y$189&lt;Account_Register!$O$32,0,IF(Assumptions!Y$189=Account_Register!$O$32,Account_Register!$H$32*Account_Register!$M$32,IF(MOD(Assumptions!Y$189-Account_Register!$O$32,12)=0,X34*Assumptions!$C$137*(1+Assumptions!Y$200)*(1+Account_Register!$N$32*Assumptions!$F$171),X34)))</f>
        <v>2700</v>
      </c>
      <c r="Z34" s="65" t="n">
        <f aca="false">IF(Assumptions!Z$189&lt;Account_Register!$O$32,0,IF(Assumptions!Z$189=Account_Register!$O$32,Account_Register!$H$32*Account_Register!$M$32,IF(MOD(Assumptions!Z$189-Account_Register!$O$32,12)=0,Y34*Assumptions!$C$137*(1+Assumptions!Z$200)*(1+Account_Register!$N$32*Assumptions!$F$171),Y34)))</f>
        <v>2700</v>
      </c>
      <c r="AA34" s="65" t="n">
        <f aca="false">IF(Assumptions!AA$189&lt;Account_Register!$O$32,0,IF(Assumptions!AA$189=Account_Register!$O$32,Account_Register!$H$32*Account_Register!$M$32,IF(MOD(Assumptions!AA$189-Account_Register!$O$32,12)=0,Z34*Assumptions!$C$137*(1+Assumptions!AA$200)*(1+Account_Register!$N$32*Assumptions!$F$171),Z34)))</f>
        <v>2700</v>
      </c>
      <c r="AB34" s="65" t="n">
        <f aca="false">IF(Assumptions!AB$189&lt;Account_Register!$O$32,0,IF(Assumptions!AB$189=Account_Register!$O$32,Account_Register!$H$32*Account_Register!$M$32,IF(MOD(Assumptions!AB$189-Account_Register!$O$32,12)=0,AA34*Assumptions!$C$137*(1+Assumptions!AB$200)*(1+Account_Register!$N$32*Assumptions!$F$171),AA34)))</f>
        <v>2700</v>
      </c>
    </row>
    <row r="35" customFormat="false" ht="15" hidden="false" customHeight="false" outlineLevel="0" collapsed="false">
      <c r="A35" s="28" t="s">
        <v>993</v>
      </c>
      <c r="B35" s="63" t="s">
        <v>989</v>
      </c>
      <c r="C35" s="64" t="n">
        <f aca="false">P35</f>
        <v>0</v>
      </c>
      <c r="D35" s="64" t="n">
        <f aca="false">AB35</f>
        <v>3120</v>
      </c>
      <c r="E35" s="65" t="n">
        <f aca="false">IF(Assumptions!E$189&lt;Account_Register!$O$33,0,IF(Assumptions!E$189=Account_Register!$O$33,Account_Register!$H$33*Account_Register!$M$33,IF(MOD(Assumptions!E$189-Account_Register!$O$33,12)=0,0*Assumptions!$C$137*(1+Assumptions!E$200)*(1+Account_Register!$N$33*Assumptions!$F$171),0)))</f>
        <v>0</v>
      </c>
      <c r="F35" s="65" t="n">
        <f aca="false">IF(Assumptions!F$189&lt;Account_Register!$O$33,0,IF(Assumptions!F$189=Account_Register!$O$33,Account_Register!$H$33*Account_Register!$M$33,IF(MOD(Assumptions!F$189-Account_Register!$O$33,12)=0,E35*Assumptions!$C$137*(1+Assumptions!F$200)*(1+Account_Register!$N$33*Assumptions!$F$171),E35)))</f>
        <v>0</v>
      </c>
      <c r="G35" s="65" t="n">
        <f aca="false">IF(Assumptions!G$189&lt;Account_Register!$O$33,0,IF(Assumptions!G$189=Account_Register!$O$33,Account_Register!$H$33*Account_Register!$M$33,IF(MOD(Assumptions!G$189-Account_Register!$O$33,12)=0,F35*Assumptions!$C$137*(1+Assumptions!G$200)*(1+Account_Register!$N$33*Assumptions!$F$171),F35)))</f>
        <v>0</v>
      </c>
      <c r="H35" s="65" t="n">
        <f aca="false">IF(Assumptions!H$189&lt;Account_Register!$O$33,0,IF(Assumptions!H$189=Account_Register!$O$33,Account_Register!$H$33*Account_Register!$M$33,IF(MOD(Assumptions!H$189-Account_Register!$O$33,12)=0,G35*Assumptions!$C$137*(1+Assumptions!H$200)*(1+Account_Register!$N$33*Assumptions!$F$171),G35)))</f>
        <v>0</v>
      </c>
      <c r="I35" s="65" t="n">
        <f aca="false">IF(Assumptions!I$189&lt;Account_Register!$O$33,0,IF(Assumptions!I$189=Account_Register!$O$33,Account_Register!$H$33*Account_Register!$M$33,IF(MOD(Assumptions!I$189-Account_Register!$O$33,12)=0,H35*Assumptions!$C$137*(1+Assumptions!I$200)*(1+Account_Register!$N$33*Assumptions!$F$171),H35)))</f>
        <v>0</v>
      </c>
      <c r="J35" s="65" t="n">
        <f aca="false">IF(Assumptions!J$189&lt;Account_Register!$O$33,0,IF(Assumptions!J$189=Account_Register!$O$33,Account_Register!$H$33*Account_Register!$M$33,IF(MOD(Assumptions!J$189-Account_Register!$O$33,12)=0,I35*Assumptions!$C$137*(1+Assumptions!J$200)*(1+Account_Register!$N$33*Assumptions!$F$171),I35)))</f>
        <v>0</v>
      </c>
      <c r="K35" s="65" t="n">
        <f aca="false">IF(Assumptions!K$189&lt;Account_Register!$O$33,0,IF(Assumptions!K$189=Account_Register!$O$33,Account_Register!$H$33*Account_Register!$M$33,IF(MOD(Assumptions!K$189-Account_Register!$O$33,12)=0,J35*Assumptions!$C$137*(1+Assumptions!K$200)*(1+Account_Register!$N$33*Assumptions!$F$171),J35)))</f>
        <v>0</v>
      </c>
      <c r="L35" s="65" t="n">
        <f aca="false">IF(Assumptions!L$189&lt;Account_Register!$O$33,0,IF(Assumptions!L$189=Account_Register!$O$33,Account_Register!$H$33*Account_Register!$M$33,IF(MOD(Assumptions!L$189-Account_Register!$O$33,12)=0,K35*Assumptions!$C$137*(1+Assumptions!L$200)*(1+Account_Register!$N$33*Assumptions!$F$171),K35)))</f>
        <v>0</v>
      </c>
      <c r="M35" s="65" t="n">
        <f aca="false">IF(Assumptions!M$189&lt;Account_Register!$O$33,0,IF(Assumptions!M$189=Account_Register!$O$33,Account_Register!$H$33*Account_Register!$M$33,IF(MOD(Assumptions!M$189-Account_Register!$O$33,12)=0,L35*Assumptions!$C$137*(1+Assumptions!M$200)*(1+Account_Register!$N$33*Assumptions!$F$171),L35)))</f>
        <v>0</v>
      </c>
      <c r="N35" s="65" t="n">
        <f aca="false">IF(Assumptions!N$189&lt;Account_Register!$O$33,0,IF(Assumptions!N$189=Account_Register!$O$33,Account_Register!$H$33*Account_Register!$M$33,IF(MOD(Assumptions!N$189-Account_Register!$O$33,12)=0,M35*Assumptions!$C$137*(1+Assumptions!N$200)*(1+Account_Register!$N$33*Assumptions!$F$171),M35)))</f>
        <v>0</v>
      </c>
      <c r="O35" s="65" t="n">
        <f aca="false">IF(Assumptions!O$189&lt;Account_Register!$O$33,0,IF(Assumptions!O$189=Account_Register!$O$33,Account_Register!$H$33*Account_Register!$M$33,IF(MOD(Assumptions!O$189-Account_Register!$O$33,12)=0,N35*Assumptions!$C$137*(1+Assumptions!O$200)*(1+Account_Register!$N$33*Assumptions!$F$171),N35)))</f>
        <v>0</v>
      </c>
      <c r="P35" s="65" t="n">
        <f aca="false">IF(Assumptions!P$189&lt;Account_Register!$O$33,0,IF(Assumptions!P$189=Account_Register!$O$33,Account_Register!$H$33*Account_Register!$M$33,IF(MOD(Assumptions!P$189-Account_Register!$O$33,12)=0,O35*Assumptions!$C$137*(1+Assumptions!P$200)*(1+Account_Register!$N$33*Assumptions!$F$171),O35)))</f>
        <v>0</v>
      </c>
      <c r="Q35" s="65" t="n">
        <f aca="false">IF(Assumptions!Q$189&lt;Account_Register!$O$33,0,IF(Assumptions!Q$189=Account_Register!$O$33,Account_Register!$H$33*Account_Register!$M$33,IF(MOD(Assumptions!Q$189-Account_Register!$O$33,12)=0,P35*Assumptions!$C$137*(1+Assumptions!Q$200)*(1+Account_Register!$N$33*Assumptions!$F$171),P35)))</f>
        <v>0</v>
      </c>
      <c r="R35" s="65" t="n">
        <f aca="false">IF(Assumptions!R$189&lt;Account_Register!$O$33,0,IF(Assumptions!R$189=Account_Register!$O$33,Account_Register!$H$33*Account_Register!$M$33,IF(MOD(Assumptions!R$189-Account_Register!$O$33,12)=0,Q35*Assumptions!$C$137*(1+Assumptions!R$200)*(1+Account_Register!$N$33*Assumptions!$F$171),Q35)))</f>
        <v>0</v>
      </c>
      <c r="S35" s="65" t="n">
        <f aca="false">IF(Assumptions!S$189&lt;Account_Register!$O$33,0,IF(Assumptions!S$189=Account_Register!$O$33,Account_Register!$H$33*Account_Register!$M$33,IF(MOD(Assumptions!S$189-Account_Register!$O$33,12)=0,R35*Assumptions!$C$137*(1+Assumptions!S$200)*(1+Account_Register!$N$33*Assumptions!$F$171),R35)))</f>
        <v>3120</v>
      </c>
      <c r="T35" s="65" t="n">
        <f aca="false">IF(Assumptions!T$189&lt;Account_Register!$O$33,0,IF(Assumptions!T$189=Account_Register!$O$33,Account_Register!$H$33*Account_Register!$M$33,IF(MOD(Assumptions!T$189-Account_Register!$O$33,12)=0,S35*Assumptions!$C$137*(1+Assumptions!T$200)*(1+Account_Register!$N$33*Assumptions!$F$171),S35)))</f>
        <v>3120</v>
      </c>
      <c r="U35" s="65" t="n">
        <f aca="false">IF(Assumptions!U$189&lt;Account_Register!$O$33,0,IF(Assumptions!U$189=Account_Register!$O$33,Account_Register!$H$33*Account_Register!$M$33,IF(MOD(Assumptions!U$189-Account_Register!$O$33,12)=0,T35*Assumptions!$C$137*(1+Assumptions!U$200)*(1+Account_Register!$N$33*Assumptions!$F$171),T35)))</f>
        <v>3120</v>
      </c>
      <c r="V35" s="65" t="n">
        <f aca="false">IF(Assumptions!V$189&lt;Account_Register!$O$33,0,IF(Assumptions!V$189=Account_Register!$O$33,Account_Register!$H$33*Account_Register!$M$33,IF(MOD(Assumptions!V$189-Account_Register!$O$33,12)=0,U35*Assumptions!$C$137*(1+Assumptions!V$200)*(1+Account_Register!$N$33*Assumptions!$F$171),U35)))</f>
        <v>3120</v>
      </c>
      <c r="W35" s="65" t="n">
        <f aca="false">IF(Assumptions!W$189&lt;Account_Register!$O$33,0,IF(Assumptions!W$189=Account_Register!$O$33,Account_Register!$H$33*Account_Register!$M$33,IF(MOD(Assumptions!W$189-Account_Register!$O$33,12)=0,V35*Assumptions!$C$137*(1+Assumptions!W$200)*(1+Account_Register!$N$33*Assumptions!$F$171),V35)))</f>
        <v>3120</v>
      </c>
      <c r="X35" s="65" t="n">
        <f aca="false">IF(Assumptions!X$189&lt;Account_Register!$O$33,0,IF(Assumptions!X$189=Account_Register!$O$33,Account_Register!$H$33*Account_Register!$M$33,IF(MOD(Assumptions!X$189-Account_Register!$O$33,12)=0,W35*Assumptions!$C$137*(1+Assumptions!X$200)*(1+Account_Register!$N$33*Assumptions!$F$171),W35)))</f>
        <v>3120</v>
      </c>
      <c r="Y35" s="65" t="n">
        <f aca="false">IF(Assumptions!Y$189&lt;Account_Register!$O$33,0,IF(Assumptions!Y$189=Account_Register!$O$33,Account_Register!$H$33*Account_Register!$M$33,IF(MOD(Assumptions!Y$189-Account_Register!$O$33,12)=0,X35*Assumptions!$C$137*(1+Assumptions!Y$200)*(1+Account_Register!$N$33*Assumptions!$F$171),X35)))</f>
        <v>3120</v>
      </c>
      <c r="Z35" s="65" t="n">
        <f aca="false">IF(Assumptions!Z$189&lt;Account_Register!$O$33,0,IF(Assumptions!Z$189=Account_Register!$O$33,Account_Register!$H$33*Account_Register!$M$33,IF(MOD(Assumptions!Z$189-Account_Register!$O$33,12)=0,Y35*Assumptions!$C$137*(1+Assumptions!Z$200)*(1+Account_Register!$N$33*Assumptions!$F$171),Y35)))</f>
        <v>3120</v>
      </c>
      <c r="AA35" s="65" t="n">
        <f aca="false">IF(Assumptions!AA$189&lt;Account_Register!$O$33,0,IF(Assumptions!AA$189=Account_Register!$O$33,Account_Register!$H$33*Account_Register!$M$33,IF(MOD(Assumptions!AA$189-Account_Register!$O$33,12)=0,Z35*Assumptions!$C$137*(1+Assumptions!AA$200)*(1+Account_Register!$N$33*Assumptions!$F$171),Z35)))</f>
        <v>3120</v>
      </c>
      <c r="AB35" s="65" t="n">
        <f aca="false">IF(Assumptions!AB$189&lt;Account_Register!$O$33,0,IF(Assumptions!AB$189=Account_Register!$O$33,Account_Register!$H$33*Account_Register!$M$33,IF(MOD(Assumptions!AB$189-Account_Register!$O$33,12)=0,AA35*Assumptions!$C$137*(1+Assumptions!AB$200)*(1+Account_Register!$N$33*Assumptions!$F$171),AA35)))</f>
        <v>3120</v>
      </c>
    </row>
    <row r="36" customFormat="false" ht="15" hidden="false" customHeight="false" outlineLevel="0" collapsed="false">
      <c r="A36" s="28" t="s">
        <v>994</v>
      </c>
      <c r="B36" s="63" t="s">
        <v>989</v>
      </c>
      <c r="C36" s="64" t="n">
        <f aca="false">P36</f>
        <v>0</v>
      </c>
      <c r="D36" s="64" t="n">
        <f aca="false">AB36</f>
        <v>3000</v>
      </c>
      <c r="E36" s="65" t="n">
        <f aca="false">IF(Assumptions!E$189&lt;Account_Register!$O$34,0,IF(Assumptions!E$189=Account_Register!$O$34,Account_Register!$H$34*Account_Register!$M$34,IF(MOD(Assumptions!E$189-Account_Register!$O$34,12)=0,0*Assumptions!$C$137*(1+Assumptions!E$200)*(1+Account_Register!$N$34*Assumptions!$F$171),0)))</f>
        <v>0</v>
      </c>
      <c r="F36" s="65" t="n">
        <f aca="false">IF(Assumptions!F$189&lt;Account_Register!$O$34,0,IF(Assumptions!F$189=Account_Register!$O$34,Account_Register!$H$34*Account_Register!$M$34,IF(MOD(Assumptions!F$189-Account_Register!$O$34,12)=0,E36*Assumptions!$C$137*(1+Assumptions!F$200)*(1+Account_Register!$N$34*Assumptions!$F$171),E36)))</f>
        <v>0</v>
      </c>
      <c r="G36" s="65" t="n">
        <f aca="false">IF(Assumptions!G$189&lt;Account_Register!$O$34,0,IF(Assumptions!G$189=Account_Register!$O$34,Account_Register!$H$34*Account_Register!$M$34,IF(MOD(Assumptions!G$189-Account_Register!$O$34,12)=0,F36*Assumptions!$C$137*(1+Assumptions!G$200)*(1+Account_Register!$N$34*Assumptions!$F$171),F36)))</f>
        <v>0</v>
      </c>
      <c r="H36" s="65" t="n">
        <f aca="false">IF(Assumptions!H$189&lt;Account_Register!$O$34,0,IF(Assumptions!H$189=Account_Register!$O$34,Account_Register!$H$34*Account_Register!$M$34,IF(MOD(Assumptions!H$189-Account_Register!$O$34,12)=0,G36*Assumptions!$C$137*(1+Assumptions!H$200)*(1+Account_Register!$N$34*Assumptions!$F$171),G36)))</f>
        <v>0</v>
      </c>
      <c r="I36" s="65" t="n">
        <f aca="false">IF(Assumptions!I$189&lt;Account_Register!$O$34,0,IF(Assumptions!I$189=Account_Register!$O$34,Account_Register!$H$34*Account_Register!$M$34,IF(MOD(Assumptions!I$189-Account_Register!$O$34,12)=0,H36*Assumptions!$C$137*(1+Assumptions!I$200)*(1+Account_Register!$N$34*Assumptions!$F$171),H36)))</f>
        <v>0</v>
      </c>
      <c r="J36" s="65" t="n">
        <f aca="false">IF(Assumptions!J$189&lt;Account_Register!$O$34,0,IF(Assumptions!J$189=Account_Register!$O$34,Account_Register!$H$34*Account_Register!$M$34,IF(MOD(Assumptions!J$189-Account_Register!$O$34,12)=0,I36*Assumptions!$C$137*(1+Assumptions!J$200)*(1+Account_Register!$N$34*Assumptions!$F$171),I36)))</f>
        <v>0</v>
      </c>
      <c r="K36" s="65" t="n">
        <f aca="false">IF(Assumptions!K$189&lt;Account_Register!$O$34,0,IF(Assumptions!K$189=Account_Register!$O$34,Account_Register!$H$34*Account_Register!$M$34,IF(MOD(Assumptions!K$189-Account_Register!$O$34,12)=0,J36*Assumptions!$C$137*(1+Assumptions!K$200)*(1+Account_Register!$N$34*Assumptions!$F$171),J36)))</f>
        <v>0</v>
      </c>
      <c r="L36" s="65" t="n">
        <f aca="false">IF(Assumptions!L$189&lt;Account_Register!$O$34,0,IF(Assumptions!L$189=Account_Register!$O$34,Account_Register!$H$34*Account_Register!$M$34,IF(MOD(Assumptions!L$189-Account_Register!$O$34,12)=0,K36*Assumptions!$C$137*(1+Assumptions!L$200)*(1+Account_Register!$N$34*Assumptions!$F$171),K36)))</f>
        <v>0</v>
      </c>
      <c r="M36" s="65" t="n">
        <f aca="false">IF(Assumptions!M$189&lt;Account_Register!$O$34,0,IF(Assumptions!M$189=Account_Register!$O$34,Account_Register!$H$34*Account_Register!$M$34,IF(MOD(Assumptions!M$189-Account_Register!$O$34,12)=0,L36*Assumptions!$C$137*(1+Assumptions!M$200)*(1+Account_Register!$N$34*Assumptions!$F$171),L36)))</f>
        <v>0</v>
      </c>
      <c r="N36" s="65" t="n">
        <f aca="false">IF(Assumptions!N$189&lt;Account_Register!$O$34,0,IF(Assumptions!N$189=Account_Register!$O$34,Account_Register!$H$34*Account_Register!$M$34,IF(MOD(Assumptions!N$189-Account_Register!$O$34,12)=0,M36*Assumptions!$C$137*(1+Assumptions!N$200)*(1+Account_Register!$N$34*Assumptions!$F$171),M36)))</f>
        <v>0</v>
      </c>
      <c r="O36" s="65" t="n">
        <f aca="false">IF(Assumptions!O$189&lt;Account_Register!$O$34,0,IF(Assumptions!O$189=Account_Register!$O$34,Account_Register!$H$34*Account_Register!$M$34,IF(MOD(Assumptions!O$189-Account_Register!$O$34,12)=0,N36*Assumptions!$C$137*(1+Assumptions!O$200)*(1+Account_Register!$N$34*Assumptions!$F$171),N36)))</f>
        <v>0</v>
      </c>
      <c r="P36" s="65" t="n">
        <f aca="false">IF(Assumptions!P$189&lt;Account_Register!$O$34,0,IF(Assumptions!P$189=Account_Register!$O$34,Account_Register!$H$34*Account_Register!$M$34,IF(MOD(Assumptions!P$189-Account_Register!$O$34,12)=0,O36*Assumptions!$C$137*(1+Assumptions!P$200)*(1+Account_Register!$N$34*Assumptions!$F$171),O36)))</f>
        <v>0</v>
      </c>
      <c r="Q36" s="65" t="n">
        <f aca="false">IF(Assumptions!Q$189&lt;Account_Register!$O$34,0,IF(Assumptions!Q$189=Account_Register!$O$34,Account_Register!$H$34*Account_Register!$M$34,IF(MOD(Assumptions!Q$189-Account_Register!$O$34,12)=0,P36*Assumptions!$C$137*(1+Assumptions!Q$200)*(1+Account_Register!$N$34*Assumptions!$F$171),P36)))</f>
        <v>0</v>
      </c>
      <c r="R36" s="65" t="n">
        <f aca="false">IF(Assumptions!R$189&lt;Account_Register!$O$34,0,IF(Assumptions!R$189=Account_Register!$O$34,Account_Register!$H$34*Account_Register!$M$34,IF(MOD(Assumptions!R$189-Account_Register!$O$34,12)=0,Q36*Assumptions!$C$137*(1+Assumptions!R$200)*(1+Account_Register!$N$34*Assumptions!$F$171),Q36)))</f>
        <v>0</v>
      </c>
      <c r="S36" s="65" t="n">
        <f aca="false">IF(Assumptions!S$189&lt;Account_Register!$O$34,0,IF(Assumptions!S$189=Account_Register!$O$34,Account_Register!$H$34*Account_Register!$M$34,IF(MOD(Assumptions!S$189-Account_Register!$O$34,12)=0,R36*Assumptions!$C$137*(1+Assumptions!S$200)*(1+Account_Register!$N$34*Assumptions!$F$171),R36)))</f>
        <v>0</v>
      </c>
      <c r="T36" s="65" t="n">
        <f aca="false">IF(Assumptions!T$189&lt;Account_Register!$O$34,0,IF(Assumptions!T$189=Account_Register!$O$34,Account_Register!$H$34*Account_Register!$M$34,IF(MOD(Assumptions!T$189-Account_Register!$O$34,12)=0,S36*Assumptions!$C$137*(1+Assumptions!T$200)*(1+Account_Register!$N$34*Assumptions!$F$171),S36)))</f>
        <v>3000</v>
      </c>
      <c r="U36" s="65" t="n">
        <f aca="false">IF(Assumptions!U$189&lt;Account_Register!$O$34,0,IF(Assumptions!U$189=Account_Register!$O$34,Account_Register!$H$34*Account_Register!$M$34,IF(MOD(Assumptions!U$189-Account_Register!$O$34,12)=0,T36*Assumptions!$C$137*(1+Assumptions!U$200)*(1+Account_Register!$N$34*Assumptions!$F$171),T36)))</f>
        <v>3000</v>
      </c>
      <c r="V36" s="65" t="n">
        <f aca="false">IF(Assumptions!V$189&lt;Account_Register!$O$34,0,IF(Assumptions!V$189=Account_Register!$O$34,Account_Register!$H$34*Account_Register!$M$34,IF(MOD(Assumptions!V$189-Account_Register!$O$34,12)=0,U36*Assumptions!$C$137*(1+Assumptions!V$200)*(1+Account_Register!$N$34*Assumptions!$F$171),U36)))</f>
        <v>3000</v>
      </c>
      <c r="W36" s="65" t="n">
        <f aca="false">IF(Assumptions!W$189&lt;Account_Register!$O$34,0,IF(Assumptions!W$189=Account_Register!$O$34,Account_Register!$H$34*Account_Register!$M$34,IF(MOD(Assumptions!W$189-Account_Register!$O$34,12)=0,V36*Assumptions!$C$137*(1+Assumptions!W$200)*(1+Account_Register!$N$34*Assumptions!$F$171),V36)))</f>
        <v>3000</v>
      </c>
      <c r="X36" s="65" t="n">
        <f aca="false">IF(Assumptions!X$189&lt;Account_Register!$O$34,0,IF(Assumptions!X$189=Account_Register!$O$34,Account_Register!$H$34*Account_Register!$M$34,IF(MOD(Assumptions!X$189-Account_Register!$O$34,12)=0,W36*Assumptions!$C$137*(1+Assumptions!X$200)*(1+Account_Register!$N$34*Assumptions!$F$171),W36)))</f>
        <v>3000</v>
      </c>
      <c r="Y36" s="65" t="n">
        <f aca="false">IF(Assumptions!Y$189&lt;Account_Register!$O$34,0,IF(Assumptions!Y$189=Account_Register!$O$34,Account_Register!$H$34*Account_Register!$M$34,IF(MOD(Assumptions!Y$189-Account_Register!$O$34,12)=0,X36*Assumptions!$C$137*(1+Assumptions!Y$200)*(1+Account_Register!$N$34*Assumptions!$F$171),X36)))</f>
        <v>3000</v>
      </c>
      <c r="Z36" s="65" t="n">
        <f aca="false">IF(Assumptions!Z$189&lt;Account_Register!$O$34,0,IF(Assumptions!Z$189=Account_Register!$O$34,Account_Register!$H$34*Account_Register!$M$34,IF(MOD(Assumptions!Z$189-Account_Register!$O$34,12)=0,Y36*Assumptions!$C$137*(1+Assumptions!Z$200)*(1+Account_Register!$N$34*Assumptions!$F$171),Y36)))</f>
        <v>3000</v>
      </c>
      <c r="AA36" s="65" t="n">
        <f aca="false">IF(Assumptions!AA$189&lt;Account_Register!$O$34,0,IF(Assumptions!AA$189=Account_Register!$O$34,Account_Register!$H$34*Account_Register!$M$34,IF(MOD(Assumptions!AA$189-Account_Register!$O$34,12)=0,Z36*Assumptions!$C$137*(1+Assumptions!AA$200)*(1+Account_Register!$N$34*Assumptions!$F$171),Z36)))</f>
        <v>3000</v>
      </c>
      <c r="AB36" s="65" t="n">
        <f aca="false">IF(Assumptions!AB$189&lt;Account_Register!$O$34,0,IF(Assumptions!AB$189=Account_Register!$O$34,Account_Register!$H$34*Account_Register!$M$34,IF(MOD(Assumptions!AB$189-Account_Register!$O$34,12)=0,AA36*Assumptions!$C$137*(1+Assumptions!AB$200)*(1+Account_Register!$N$34*Assumptions!$F$171),AA36)))</f>
        <v>3000</v>
      </c>
    </row>
    <row r="37" customFormat="false" ht="15" hidden="false" customHeight="false" outlineLevel="0" collapsed="false">
      <c r="A37" s="28" t="s">
        <v>995</v>
      </c>
      <c r="B37" s="63" t="s">
        <v>996</v>
      </c>
      <c r="C37" s="64" t="n">
        <f aca="false">SUM(E37:P37)</f>
        <v>0</v>
      </c>
      <c r="D37" s="64" t="n">
        <f aca="false">SUM(Q37:AB37)</f>
        <v>25725</v>
      </c>
      <c r="E37" s="65" t="n">
        <f aca="false">IF(AND(Assumptions!E$190="F",Assumptions!E$188&gt;=Assumptions!$C$140),Assumptions!$F$174*Assumptions!$C$138*Assumptions!E$201,0)</f>
        <v>0</v>
      </c>
      <c r="F37" s="65" t="n">
        <f aca="false">IF(AND(Assumptions!F$190="F",Assumptions!F$188&gt;=Assumptions!$C$140),Assumptions!$F$174*Assumptions!$C$138*Assumptions!F$201,0)</f>
        <v>0</v>
      </c>
      <c r="G37" s="65" t="n">
        <f aca="false">IF(AND(Assumptions!G$190="F",Assumptions!G$188&gt;=Assumptions!$C$140),Assumptions!$F$174*Assumptions!$C$138*Assumptions!G$201,0)</f>
        <v>0</v>
      </c>
      <c r="H37" s="65" t="n">
        <f aca="false">IF(AND(Assumptions!H$190="F",Assumptions!H$188&gt;=Assumptions!$C$140),Assumptions!$F$174*Assumptions!$C$138*Assumptions!H$201,0)</f>
        <v>0</v>
      </c>
      <c r="I37" s="65" t="n">
        <f aca="false">IF(AND(Assumptions!I$190="F",Assumptions!I$188&gt;=Assumptions!$C$140),Assumptions!$F$174*Assumptions!$C$138*Assumptions!I$201,0)</f>
        <v>0</v>
      </c>
      <c r="J37" s="65" t="n">
        <f aca="false">IF(AND(Assumptions!J$190="F",Assumptions!J$188&gt;=Assumptions!$C$140),Assumptions!$F$174*Assumptions!$C$138*Assumptions!J$201,0)</f>
        <v>0</v>
      </c>
      <c r="K37" s="65" t="n">
        <f aca="false">IF(AND(Assumptions!K$190="F",Assumptions!K$188&gt;=Assumptions!$C$140),Assumptions!$F$174*Assumptions!$C$138*Assumptions!K$201,0)</f>
        <v>0</v>
      </c>
      <c r="L37" s="65" t="n">
        <f aca="false">IF(AND(Assumptions!L$190="F",Assumptions!L$188&gt;=Assumptions!$C$140),Assumptions!$F$174*Assumptions!$C$138*Assumptions!L$201,0)</f>
        <v>0</v>
      </c>
      <c r="M37" s="65" t="n">
        <f aca="false">IF(AND(Assumptions!M$190="F",Assumptions!M$188&gt;=Assumptions!$C$140),Assumptions!$F$174*Assumptions!$C$138*Assumptions!M$201,0)</f>
        <v>0</v>
      </c>
      <c r="N37" s="65" t="n">
        <f aca="false">IF(AND(Assumptions!N$190="F",Assumptions!N$188&gt;=Assumptions!$C$140),Assumptions!$F$174*Assumptions!$C$138*Assumptions!N$201,0)</f>
        <v>0</v>
      </c>
      <c r="O37" s="65" t="n">
        <f aca="false">IF(AND(Assumptions!O$190="F",Assumptions!O$188&gt;=Assumptions!$C$140),Assumptions!$F$174*Assumptions!$C$138*Assumptions!O$201,0)</f>
        <v>0</v>
      </c>
      <c r="P37" s="65" t="n">
        <f aca="false">IF(AND(Assumptions!P$190="F",Assumptions!P$188&gt;=Assumptions!$C$140),Assumptions!$F$174*Assumptions!$C$138*Assumptions!P$201,0)</f>
        <v>0</v>
      </c>
      <c r="Q37" s="65" t="n">
        <f aca="false">IF(AND(Assumptions!Q$190="F",Assumptions!Q$188&gt;=Assumptions!$C$140),Assumptions!$F$174*Assumptions!$C$138*Assumptions!Q$201,0)</f>
        <v>0</v>
      </c>
      <c r="R37" s="65" t="n">
        <f aca="false">IF(AND(Assumptions!R$190="F",Assumptions!R$188&gt;=Assumptions!$C$140),Assumptions!$F$174*Assumptions!$C$138*Assumptions!R$201,0)</f>
        <v>0</v>
      </c>
      <c r="S37" s="65" t="n">
        <f aca="false">IF(AND(Assumptions!S$190="F",Assumptions!S$188&gt;=Assumptions!$C$140),Assumptions!$F$174*Assumptions!$C$138*Assumptions!S$201,0)</f>
        <v>0</v>
      </c>
      <c r="T37" s="65" t="n">
        <f aca="false">IF(AND(Assumptions!T$190="F",Assumptions!T$188&gt;=Assumptions!$C$140),Assumptions!$F$174*Assumptions!$C$138*Assumptions!T$201,0)</f>
        <v>0</v>
      </c>
      <c r="U37" s="65" t="n">
        <f aca="false">IF(AND(Assumptions!U$190="F",Assumptions!U$188&gt;=Assumptions!$C$140),Assumptions!$F$174*Assumptions!$C$138*Assumptions!U$201,0)</f>
        <v>0</v>
      </c>
      <c r="V37" s="65" t="n">
        <f aca="false">IF(AND(Assumptions!V$190="F",Assumptions!V$188&gt;=Assumptions!$C$140),Assumptions!$F$174*Assumptions!$C$138*Assumptions!V$201,0)</f>
        <v>3675</v>
      </c>
      <c r="W37" s="65" t="n">
        <f aca="false">IF(AND(Assumptions!W$190="F",Assumptions!W$188&gt;=Assumptions!$C$140),Assumptions!$F$174*Assumptions!$C$138*Assumptions!W$201,0)</f>
        <v>3675</v>
      </c>
      <c r="X37" s="65" t="n">
        <f aca="false">IF(AND(Assumptions!X$190="F",Assumptions!X$188&gt;=Assumptions!$C$140),Assumptions!$F$174*Assumptions!$C$138*Assumptions!X$201,0)</f>
        <v>3675</v>
      </c>
      <c r="Y37" s="65" t="n">
        <f aca="false">IF(AND(Assumptions!Y$190="F",Assumptions!Y$188&gt;=Assumptions!$C$140),Assumptions!$F$174*Assumptions!$C$138*Assumptions!Y$201,0)</f>
        <v>3675</v>
      </c>
      <c r="Z37" s="65" t="n">
        <f aca="false">IF(AND(Assumptions!Z$190="F",Assumptions!Z$188&gt;=Assumptions!$C$140),Assumptions!$F$174*Assumptions!$C$138*Assumptions!Z$201,0)</f>
        <v>3675</v>
      </c>
      <c r="AA37" s="65" t="n">
        <f aca="false">IF(AND(Assumptions!AA$190="F",Assumptions!AA$188&gt;=Assumptions!$C$140),Assumptions!$F$174*Assumptions!$C$138*Assumptions!AA$201,0)</f>
        <v>3675</v>
      </c>
      <c r="AB37" s="65" t="n">
        <f aca="false">IF(AND(Assumptions!AB$190="F",Assumptions!AB$188&gt;=Assumptions!$C$140),Assumptions!$F$174*Assumptions!$C$138*Assumptions!AB$201,0)</f>
        <v>3675</v>
      </c>
    </row>
    <row r="38" customFormat="false" ht="15" hidden="false" customHeight="false" outlineLevel="0" collapsed="false">
      <c r="A38" s="28" t="s">
        <v>997</v>
      </c>
      <c r="B38" s="63" t="s">
        <v>998</v>
      </c>
      <c r="C38" s="64" t="n">
        <f aca="false">P38</f>
        <v>0</v>
      </c>
      <c r="D38" s="64" t="n">
        <f aca="false">AB38</f>
        <v>25725</v>
      </c>
      <c r="E38" s="74" t="n">
        <f aca="false">0+E37</f>
        <v>0</v>
      </c>
      <c r="F38" s="74" t="n">
        <f aca="false">E38+F37</f>
        <v>0</v>
      </c>
      <c r="G38" s="74" t="n">
        <f aca="false">F38+G37</f>
        <v>0</v>
      </c>
      <c r="H38" s="74" t="n">
        <f aca="false">G38+H37</f>
        <v>0</v>
      </c>
      <c r="I38" s="74" t="n">
        <f aca="false">H38+I37</f>
        <v>0</v>
      </c>
      <c r="J38" s="74" t="n">
        <f aca="false">I38+J37</f>
        <v>0</v>
      </c>
      <c r="K38" s="74" t="n">
        <f aca="false">J38+K37</f>
        <v>0</v>
      </c>
      <c r="L38" s="74" t="n">
        <f aca="false">K38+L37</f>
        <v>0</v>
      </c>
      <c r="M38" s="74" t="n">
        <f aca="false">L38+M37</f>
        <v>0</v>
      </c>
      <c r="N38" s="74" t="n">
        <f aca="false">M38+N37</f>
        <v>0</v>
      </c>
      <c r="O38" s="74" t="n">
        <f aca="false">N38+O37</f>
        <v>0</v>
      </c>
      <c r="P38" s="74" t="n">
        <f aca="false">O38+P37</f>
        <v>0</v>
      </c>
      <c r="Q38" s="74" t="n">
        <f aca="false">P38+Q37</f>
        <v>0</v>
      </c>
      <c r="R38" s="74" t="n">
        <f aca="false">Q38+R37</f>
        <v>0</v>
      </c>
      <c r="S38" s="74" t="n">
        <f aca="false">R38+S37</f>
        <v>0</v>
      </c>
      <c r="T38" s="74" t="n">
        <f aca="false">S38+T37</f>
        <v>0</v>
      </c>
      <c r="U38" s="74" t="n">
        <f aca="false">T38+U37</f>
        <v>0</v>
      </c>
      <c r="V38" s="74" t="n">
        <f aca="false">U38+V37</f>
        <v>3675</v>
      </c>
      <c r="W38" s="74" t="n">
        <f aca="false">V38+W37</f>
        <v>7350</v>
      </c>
      <c r="X38" s="74" t="n">
        <f aca="false">W38+X37</f>
        <v>11025</v>
      </c>
      <c r="Y38" s="74" t="n">
        <f aca="false">X38+Y37</f>
        <v>14700</v>
      </c>
      <c r="Z38" s="74" t="n">
        <f aca="false">Y38+Z37</f>
        <v>18375</v>
      </c>
      <c r="AA38" s="74" t="n">
        <f aca="false">Z38+AA37</f>
        <v>22050</v>
      </c>
      <c r="AB38" s="74" t="n">
        <f aca="false">AA38+AB37</f>
        <v>25725</v>
      </c>
    </row>
    <row r="39" customFormat="false" ht="15" hidden="false" customHeight="false" outlineLevel="0" collapsed="false">
      <c r="A39" s="59" t="s">
        <v>999</v>
      </c>
      <c r="B39" s="60"/>
      <c r="C39" s="61" t="n">
        <f aca="false">P39</f>
        <v>161272.84863704</v>
      </c>
      <c r="D39" s="61" t="n">
        <f aca="false">AB39</f>
        <v>197822.616141923</v>
      </c>
      <c r="E39" s="61" t="n">
        <f aca="false">SUM(E9:E36)+E38</f>
        <v>136166.76</v>
      </c>
      <c r="F39" s="61" t="n">
        <f aca="false">SUM(F9:F36)+F38</f>
        <v>129278.44</v>
      </c>
      <c r="G39" s="61" t="n">
        <f aca="false">SUM(G9:G36)+G38</f>
        <v>131583.25</v>
      </c>
      <c r="H39" s="61" t="n">
        <f aca="false">SUM(H9:H36)+H38</f>
        <v>143348.3</v>
      </c>
      <c r="I39" s="61" t="n">
        <f aca="false">SUM(I9:I36)+I38</f>
        <v>145028.7</v>
      </c>
      <c r="J39" s="61" t="n">
        <f aca="false">SUM(J9:J36)+J38</f>
        <v>146087.19</v>
      </c>
      <c r="K39" s="61" t="n">
        <f aca="false">SUM(K9:K36)+K38</f>
        <v>152311.25</v>
      </c>
      <c r="L39" s="61" t="n">
        <f aca="false">SUM(L9:L36)+L38</f>
        <v>152311.25</v>
      </c>
      <c r="M39" s="61" t="n">
        <f aca="false">SUM(M9:M36)+M38</f>
        <v>152476.30100764</v>
      </c>
      <c r="N39" s="61" t="n">
        <f aca="false">SUM(N9:N36)+N38</f>
        <v>152445.14903844</v>
      </c>
      <c r="O39" s="61" t="n">
        <f aca="false">SUM(O9:O36)+O38</f>
        <v>156772.84863704</v>
      </c>
      <c r="P39" s="61" t="n">
        <f aca="false">SUM(P9:P36)+P38</f>
        <v>161272.84863704</v>
      </c>
      <c r="Q39" s="61" t="n">
        <f aca="false">SUM(Q9:Q36)+Q38</f>
        <v>161864.01254254</v>
      </c>
      <c r="R39" s="61" t="n">
        <f aca="false">SUM(R9:R36)+R38</f>
        <v>164564.01254254</v>
      </c>
      <c r="S39" s="61" t="n">
        <f aca="false">SUM(S9:S36)+S38</f>
        <v>167990.73787769</v>
      </c>
      <c r="T39" s="61" t="n">
        <f aca="false">SUM(T9:T36)+T38</f>
        <v>171343.27573849</v>
      </c>
      <c r="U39" s="61" t="n">
        <f aca="false">SUM(U9:U36)+U38</f>
        <v>171494.07241825</v>
      </c>
      <c r="V39" s="61" t="n">
        <f aca="false">SUM(V9:V36)+V38</f>
        <v>175237.43135429</v>
      </c>
      <c r="W39" s="61" t="n">
        <f aca="false">SUM(W9:W36)+W38</f>
        <v>179050.93564197</v>
      </c>
      <c r="X39" s="61" t="n">
        <f aca="false">SUM(X9:X36)+X38</f>
        <v>182725.93564197</v>
      </c>
      <c r="Y39" s="61" t="n">
        <f aca="false">SUM(Y9:Y36)+Y38</f>
        <v>186570.980931254</v>
      </c>
      <c r="Z39" s="61" t="n">
        <f aca="false">SUM(Z9:Z36)+Z38</f>
        <v>190214.946841106</v>
      </c>
      <c r="AA39" s="61" t="n">
        <f aca="false">SUM(AA9:AA36)+AA38</f>
        <v>194024.203641923</v>
      </c>
      <c r="AB39" s="61" t="n">
        <f aca="false">SUM(AB9:AB36)+AB38</f>
        <v>197822.616141923</v>
      </c>
    </row>
    <row r="40" customFormat="false" ht="15" hidden="false" customHeight="false" outlineLevel="0" collapsed="false">
      <c r="A40" s="22" t="s">
        <v>1000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row>
    <row r="41" customFormat="false" ht="15" hidden="false" customHeight="false" outlineLevel="0" collapsed="false">
      <c r="A41" s="28" t="s">
        <v>1001</v>
      </c>
      <c r="B41" s="63"/>
      <c r="C41" s="68" t="n">
        <f aca="false">P41</f>
        <v>1</v>
      </c>
      <c r="D41" s="68" t="n">
        <f aca="false">AB41</f>
        <v>0.75</v>
      </c>
      <c r="E41" s="69" t="n">
        <f aca="false">IF(E$5="A",IF(E9&gt;0,1,0),IF(Account_Register!$H$7&gt;0,1,0)*Account_Register!$M$7)</f>
        <v>1</v>
      </c>
      <c r="F41" s="80" t="n">
        <f aca="false">IF(F$5="A",IF(F9&gt;0,1,0),E41)</f>
        <v>1</v>
      </c>
      <c r="G41" s="80" t="n">
        <f aca="false">IF(G$5="A",IF(G9&gt;0,1,0),F41)</f>
        <v>1</v>
      </c>
      <c r="H41" s="80" t="n">
        <f aca="false">IF(H$5="A",IF(H9&gt;0,1,0),G41)</f>
        <v>1</v>
      </c>
      <c r="I41" s="80" t="n">
        <f aca="false">IF(I$5="A",IF(I9&gt;0,1,0),H41)</f>
        <v>1</v>
      </c>
      <c r="J41" s="80" t="n">
        <f aca="false">IF(J$5="A",IF(J9&gt;0,1,0),I41)</f>
        <v>1</v>
      </c>
      <c r="K41" s="80" t="n">
        <f aca="false">IF(K$5="A",IF(K9&gt;0,1,0),J41)</f>
        <v>1</v>
      </c>
      <c r="L41" s="80" t="n">
        <f aca="false">IF(L$5="A",IF(L9&gt;0,1,0),K41)</f>
        <v>1</v>
      </c>
      <c r="M41" s="80" t="n">
        <f aca="false">IF(M$5="A",IF(M9&gt;0,1,0),L41)</f>
        <v>1</v>
      </c>
      <c r="N41" s="80" t="n">
        <f aca="false">IF(N$5="A",IF(N9&gt;0,1,0),M41)</f>
        <v>1</v>
      </c>
      <c r="O41" s="80" t="n">
        <f aca="false">IF(O$5="A",IF(O9&gt;0,1,0),N41)</f>
        <v>1</v>
      </c>
      <c r="P41" s="80" t="n">
        <f aca="false">IF(P$5="A",IF(P9&gt;0,1,0),O41)</f>
        <v>1</v>
      </c>
      <c r="Q41" s="69" t="n">
        <f aca="false">IF(Q$5="A",IF(Q9&gt;0,1,0),P41*Account_Register!$M$7)</f>
        <v>0.75</v>
      </c>
      <c r="R41" s="80" t="n">
        <f aca="false">IF(R$5="A",IF(R9&gt;0,1,0),Q41)</f>
        <v>0.75</v>
      </c>
      <c r="S41" s="80" t="n">
        <f aca="false">IF(S$5="A",IF(S9&gt;0,1,0),R41)</f>
        <v>0.75</v>
      </c>
      <c r="T41" s="80" t="n">
        <f aca="false">IF(T$5="A",IF(T9&gt;0,1,0),S41)</f>
        <v>0.75</v>
      </c>
      <c r="U41" s="80" t="n">
        <f aca="false">IF(U$5="A",IF(U9&gt;0,1,0),T41)</f>
        <v>0.75</v>
      </c>
      <c r="V41" s="80" t="n">
        <f aca="false">IF(V$5="A",IF(V9&gt;0,1,0),U41)</f>
        <v>0.75</v>
      </c>
      <c r="W41" s="80" t="n">
        <f aca="false">IF(W$5="A",IF(W9&gt;0,1,0),V41)</f>
        <v>0.75</v>
      </c>
      <c r="X41" s="80" t="n">
        <f aca="false">IF(X$5="A",IF(X9&gt;0,1,0),W41)</f>
        <v>0.75</v>
      </c>
      <c r="Y41" s="80" t="n">
        <f aca="false">IF(Y$5="A",IF(Y9&gt;0,1,0),X41)</f>
        <v>0.75</v>
      </c>
      <c r="Z41" s="80" t="n">
        <f aca="false">IF(Z$5="A",IF(Z9&gt;0,1,0),Y41)</f>
        <v>0.75</v>
      </c>
      <c r="AA41" s="80" t="n">
        <f aca="false">IF(AA$5="A",IF(AA9&gt;0,1,0),Z41)</f>
        <v>0.75</v>
      </c>
      <c r="AB41" s="80" t="n">
        <f aca="false">IF(AB$5="A",IF(AB9&gt;0,1,0),AA41)</f>
        <v>0.75</v>
      </c>
    </row>
    <row r="42" customFormat="false" ht="15" hidden="false" customHeight="false" outlineLevel="0" collapsed="false">
      <c r="A42" s="28" t="s">
        <v>1002</v>
      </c>
      <c r="B42" s="63"/>
      <c r="C42" s="68" t="n">
        <f aca="false">P42</f>
        <v>1</v>
      </c>
      <c r="D42" s="68" t="n">
        <f aca="false">AB42</f>
        <v>0.95</v>
      </c>
      <c r="E42" s="69" t="n">
        <f aca="false">IF(E$5="A",IF(E10&gt;0,1,0),IF(Account_Register!$H$8&gt;0,1,0))</f>
        <v>1</v>
      </c>
      <c r="F42" s="80" t="n">
        <f aca="false">IF(F$5="A",IF(F10&gt;0,1,0),E42)</f>
        <v>1</v>
      </c>
      <c r="G42" s="69" t="n">
        <f aca="false">IF(G$5="A",IF(G10&gt;0,1,0),F42*Account_Register!$M$8)</f>
        <v>1</v>
      </c>
      <c r="H42" s="80" t="n">
        <f aca="false">IF(H$5="A",IF(H10&gt;0,1,0),G42)</f>
        <v>1</v>
      </c>
      <c r="I42" s="80" t="n">
        <f aca="false">IF(I$5="A",IF(I10&gt;0,1,0),H42)</f>
        <v>1</v>
      </c>
      <c r="J42" s="80" t="n">
        <f aca="false">IF(J$5="A",IF(J10&gt;0,1,0),I42)</f>
        <v>1</v>
      </c>
      <c r="K42" s="80" t="n">
        <f aca="false">IF(K$5="A",IF(K10&gt;0,1,0),J42)</f>
        <v>1</v>
      </c>
      <c r="L42" s="80" t="n">
        <f aca="false">IF(L$5="A",IF(L10&gt;0,1,0),K42)</f>
        <v>1</v>
      </c>
      <c r="M42" s="80" t="n">
        <f aca="false">IF(M$5="A",IF(M10&gt;0,1,0),L42)</f>
        <v>1</v>
      </c>
      <c r="N42" s="80" t="n">
        <f aca="false">IF(N$5="A",IF(N10&gt;0,1,0),M42)</f>
        <v>1</v>
      </c>
      <c r="O42" s="80" t="n">
        <f aca="false">IF(O$5="A",IF(O10&gt;0,1,0),N42)</f>
        <v>1</v>
      </c>
      <c r="P42" s="80" t="n">
        <f aca="false">IF(P$5="A",IF(P10&gt;0,1,0),O42)</f>
        <v>1</v>
      </c>
      <c r="Q42" s="80" t="n">
        <f aca="false">IF(Q$5="A",IF(Q10&gt;0,1,0),P42)</f>
        <v>1</v>
      </c>
      <c r="R42" s="80" t="n">
        <f aca="false">IF(R$5="A",IF(R10&gt;0,1,0),Q42)</f>
        <v>1</v>
      </c>
      <c r="S42" s="69" t="n">
        <f aca="false">IF(S$5="A",IF(S10&gt;0,1,0),R42*Account_Register!$M$8)</f>
        <v>0.95</v>
      </c>
      <c r="T42" s="80" t="n">
        <f aca="false">IF(T$5="A",IF(T10&gt;0,1,0),S42)</f>
        <v>0.95</v>
      </c>
      <c r="U42" s="80" t="n">
        <f aca="false">IF(U$5="A",IF(U10&gt;0,1,0),T42)</f>
        <v>0.95</v>
      </c>
      <c r="V42" s="80" t="n">
        <f aca="false">IF(V$5="A",IF(V10&gt;0,1,0),U42)</f>
        <v>0.95</v>
      </c>
      <c r="W42" s="80" t="n">
        <f aca="false">IF(W$5="A",IF(W10&gt;0,1,0),V42)</f>
        <v>0.95</v>
      </c>
      <c r="X42" s="80" t="n">
        <f aca="false">IF(X$5="A",IF(X10&gt;0,1,0),W42)</f>
        <v>0.95</v>
      </c>
      <c r="Y42" s="80" t="n">
        <f aca="false">IF(Y$5="A",IF(Y10&gt;0,1,0),X42)</f>
        <v>0.95</v>
      </c>
      <c r="Z42" s="80" t="n">
        <f aca="false">IF(Z$5="A",IF(Z10&gt;0,1,0),Y42)</f>
        <v>0.95</v>
      </c>
      <c r="AA42" s="80" t="n">
        <f aca="false">IF(AA$5="A",IF(AA10&gt;0,1,0),Z42)</f>
        <v>0.95</v>
      </c>
      <c r="AB42" s="80" t="n">
        <f aca="false">IF(AB$5="A",IF(AB10&gt;0,1,0),AA42)</f>
        <v>0.95</v>
      </c>
    </row>
    <row r="43" customFormat="false" ht="15" hidden="false" customHeight="false" outlineLevel="0" collapsed="false">
      <c r="A43" s="28" t="s">
        <v>1003</v>
      </c>
      <c r="B43" s="63"/>
      <c r="C43" s="68" t="n">
        <f aca="false">P43</f>
        <v>1</v>
      </c>
      <c r="D43" s="68" t="n">
        <f aca="false">AB43</f>
        <v>0.95</v>
      </c>
      <c r="E43" s="69" t="n">
        <f aca="false">IF(E$5="A",IF(E11&gt;0,1,0),IF(Account_Register!$H$9&gt;0,1,0))</f>
        <v>1</v>
      </c>
      <c r="F43" s="80" t="n">
        <f aca="false">IF(F$5="A",IF(F11&gt;0,1,0),E43)</f>
        <v>1</v>
      </c>
      <c r="G43" s="80" t="n">
        <f aca="false">IF(G$5="A",IF(G11&gt;0,1,0),F43)</f>
        <v>1</v>
      </c>
      <c r="H43" s="80" t="n">
        <f aca="false">IF(H$5="A",IF(H11&gt;0,1,0),G43)</f>
        <v>1</v>
      </c>
      <c r="I43" s="80" t="n">
        <f aca="false">IF(I$5="A",IF(I11&gt;0,1,0),H43)</f>
        <v>1</v>
      </c>
      <c r="J43" s="69" t="n">
        <f aca="false">IF(J$5="A",IF(J11&gt;0,1,0),I43*Account_Register!$M$9)</f>
        <v>1</v>
      </c>
      <c r="K43" s="80" t="n">
        <f aca="false">IF(K$5="A",IF(K11&gt;0,1,0),J43)</f>
        <v>1</v>
      </c>
      <c r="L43" s="80" t="n">
        <f aca="false">IF(L$5="A",IF(L11&gt;0,1,0),K43)</f>
        <v>1</v>
      </c>
      <c r="M43" s="80" t="n">
        <f aca="false">IF(M$5="A",IF(M11&gt;0,1,0),L43)</f>
        <v>1</v>
      </c>
      <c r="N43" s="80" t="n">
        <f aca="false">IF(N$5="A",IF(N11&gt;0,1,0),M43)</f>
        <v>1</v>
      </c>
      <c r="O43" s="80" t="n">
        <f aca="false">IF(O$5="A",IF(O11&gt;0,1,0),N43)</f>
        <v>1</v>
      </c>
      <c r="P43" s="80" t="n">
        <f aca="false">IF(P$5="A",IF(P11&gt;0,1,0),O43)</f>
        <v>1</v>
      </c>
      <c r="Q43" s="80" t="n">
        <f aca="false">IF(Q$5="A",IF(Q11&gt;0,1,0),P43)</f>
        <v>1</v>
      </c>
      <c r="R43" s="80" t="n">
        <f aca="false">IF(R$5="A",IF(R11&gt;0,1,0),Q43)</f>
        <v>1</v>
      </c>
      <c r="S43" s="80" t="n">
        <f aca="false">IF(S$5="A",IF(S11&gt;0,1,0),R43)</f>
        <v>1</v>
      </c>
      <c r="T43" s="80" t="n">
        <f aca="false">IF(T$5="A",IF(T11&gt;0,1,0),S43)</f>
        <v>1</v>
      </c>
      <c r="U43" s="80" t="n">
        <f aca="false">IF(U$5="A",IF(U11&gt;0,1,0),T43)</f>
        <v>1</v>
      </c>
      <c r="V43" s="69" t="n">
        <f aca="false">IF(V$5="A",IF(V11&gt;0,1,0),U43*Account_Register!$M$9)</f>
        <v>0.95</v>
      </c>
      <c r="W43" s="80" t="n">
        <f aca="false">IF(W$5="A",IF(W11&gt;0,1,0),V43)</f>
        <v>0.95</v>
      </c>
      <c r="X43" s="80" t="n">
        <f aca="false">IF(X$5="A",IF(X11&gt;0,1,0),W43)</f>
        <v>0.95</v>
      </c>
      <c r="Y43" s="80" t="n">
        <f aca="false">IF(Y$5="A",IF(Y11&gt;0,1,0),X43)</f>
        <v>0.95</v>
      </c>
      <c r="Z43" s="80" t="n">
        <f aca="false">IF(Z$5="A",IF(Z11&gt;0,1,0),Y43)</f>
        <v>0.95</v>
      </c>
      <c r="AA43" s="80" t="n">
        <f aca="false">IF(AA$5="A",IF(AA11&gt;0,1,0),Z43)</f>
        <v>0.95</v>
      </c>
      <c r="AB43" s="80" t="n">
        <f aca="false">IF(AB$5="A",IF(AB11&gt;0,1,0),AA43)</f>
        <v>0.95</v>
      </c>
    </row>
    <row r="44" customFormat="false" ht="15" hidden="false" customHeight="false" outlineLevel="0" collapsed="false">
      <c r="A44" s="28" t="s">
        <v>1004</v>
      </c>
      <c r="B44" s="63"/>
      <c r="C44" s="68" t="n">
        <f aca="false">P44</f>
        <v>0.93</v>
      </c>
      <c r="D44" s="68" t="n">
        <f aca="false">AB44</f>
        <v>0.8649</v>
      </c>
      <c r="E44" s="69" t="n">
        <f aca="false">IF(E$5="A",IF(E12&gt;0,1,0),IF(Account_Register!$H$10&gt;0,1,0))</f>
        <v>1</v>
      </c>
      <c r="F44" s="80" t="n">
        <f aca="false">IF(F$5="A",IF(F12&gt;0,1,0),E44)</f>
        <v>1</v>
      </c>
      <c r="G44" s="80" t="n">
        <f aca="false">IF(G$5="A",IF(G12&gt;0,1,0),F44)</f>
        <v>1</v>
      </c>
      <c r="H44" s="80" t="n">
        <f aca="false">IF(H$5="A",IF(H12&gt;0,1,0),G44)</f>
        <v>1</v>
      </c>
      <c r="I44" s="80" t="n">
        <f aca="false">IF(I$5="A",IF(I12&gt;0,1,0),H44)</f>
        <v>1</v>
      </c>
      <c r="J44" s="80" t="n">
        <f aca="false">IF(J$5="A",IF(J12&gt;0,1,0),I44)</f>
        <v>1</v>
      </c>
      <c r="K44" s="80" t="n">
        <f aca="false">IF(K$5="A",IF(K12&gt;0,1,0),J44)</f>
        <v>1</v>
      </c>
      <c r="L44" s="80" t="n">
        <f aca="false">IF(L$5="A",IF(L12&gt;0,1,0),K44)</f>
        <v>1</v>
      </c>
      <c r="M44" s="80" t="n">
        <f aca="false">IF(M$5="A",IF(M12&gt;0,1,0),L44)</f>
        <v>1</v>
      </c>
      <c r="N44" s="69" t="n">
        <f aca="false">IF(N$5="A",IF(N12&gt;0,1,0),M44*Account_Register!$M$10)</f>
        <v>0.93</v>
      </c>
      <c r="O44" s="80" t="n">
        <f aca="false">IF(O$5="A",IF(O12&gt;0,1,0),N44)</f>
        <v>0.93</v>
      </c>
      <c r="P44" s="80" t="n">
        <f aca="false">IF(P$5="A",IF(P12&gt;0,1,0),O44)</f>
        <v>0.93</v>
      </c>
      <c r="Q44" s="80" t="n">
        <f aca="false">IF(Q$5="A",IF(Q12&gt;0,1,0),P44)</f>
        <v>0.93</v>
      </c>
      <c r="R44" s="80" t="n">
        <f aca="false">IF(R$5="A",IF(R12&gt;0,1,0),Q44)</f>
        <v>0.93</v>
      </c>
      <c r="S44" s="80" t="n">
        <f aca="false">IF(S$5="A",IF(S12&gt;0,1,0),R44)</f>
        <v>0.93</v>
      </c>
      <c r="T44" s="80" t="n">
        <f aca="false">IF(T$5="A",IF(T12&gt;0,1,0),S44)</f>
        <v>0.93</v>
      </c>
      <c r="U44" s="80" t="n">
        <f aca="false">IF(U$5="A",IF(U12&gt;0,1,0),T44)</f>
        <v>0.93</v>
      </c>
      <c r="V44" s="80" t="n">
        <f aca="false">IF(V$5="A",IF(V12&gt;0,1,0),U44)</f>
        <v>0.93</v>
      </c>
      <c r="W44" s="80" t="n">
        <f aca="false">IF(W$5="A",IF(W12&gt;0,1,0),V44)</f>
        <v>0.93</v>
      </c>
      <c r="X44" s="80" t="n">
        <f aca="false">IF(X$5="A",IF(X12&gt;0,1,0),W44)</f>
        <v>0.93</v>
      </c>
      <c r="Y44" s="80" t="n">
        <f aca="false">IF(Y$5="A",IF(Y12&gt;0,1,0),X44)</f>
        <v>0.93</v>
      </c>
      <c r="Z44" s="69" t="n">
        <f aca="false">IF(Z$5="A",IF(Z12&gt;0,1,0),Y44*Account_Register!$M$10)</f>
        <v>0.8649</v>
      </c>
      <c r="AA44" s="80" t="n">
        <f aca="false">IF(AA$5="A",IF(AA12&gt;0,1,0),Z44)</f>
        <v>0.8649</v>
      </c>
      <c r="AB44" s="80" t="n">
        <f aca="false">IF(AB$5="A",IF(AB12&gt;0,1,0),AA44)</f>
        <v>0.8649</v>
      </c>
    </row>
    <row r="45" customFormat="false" ht="15" hidden="false" customHeight="false" outlineLevel="0" collapsed="false">
      <c r="A45" s="28" t="s">
        <v>1005</v>
      </c>
      <c r="B45" s="63"/>
      <c r="C45" s="68" t="n">
        <f aca="false">P45</f>
        <v>0</v>
      </c>
      <c r="D45" s="68" t="n">
        <f aca="false">AB45</f>
        <v>0</v>
      </c>
      <c r="E45" s="69" t="n">
        <f aca="false">IF(E$5="A",IF(E13&gt;0,1,0),IF(Account_Register!$H$11&gt;0,1,0))</f>
        <v>1</v>
      </c>
      <c r="F45" s="69" t="n">
        <f aca="false">IF(F$5="A",IF(F13&gt;0,1,0),E45*Account_Register!$M$11)</f>
        <v>0</v>
      </c>
      <c r="G45" s="80" t="n">
        <f aca="false">IF(G$5="A",IF(G13&gt;0,1,0),F45)</f>
        <v>0</v>
      </c>
      <c r="H45" s="80" t="n">
        <f aca="false">IF(H$5="A",IF(H13&gt;0,1,0),G45)</f>
        <v>0</v>
      </c>
      <c r="I45" s="80" t="n">
        <f aca="false">IF(I$5="A",IF(I13&gt;0,1,0),H45)</f>
        <v>0</v>
      </c>
      <c r="J45" s="80" t="n">
        <f aca="false">IF(J$5="A",IF(J13&gt;0,1,0),I45)</f>
        <v>0</v>
      </c>
      <c r="K45" s="80" t="n">
        <f aca="false">IF(K$5="A",IF(K13&gt;0,1,0),J45)</f>
        <v>0</v>
      </c>
      <c r="L45" s="80" t="n">
        <f aca="false">IF(L$5="A",IF(L13&gt;0,1,0),K45)</f>
        <v>0</v>
      </c>
      <c r="M45" s="80" t="n">
        <f aca="false">IF(M$5="A",IF(M13&gt;0,1,0),L45)</f>
        <v>0</v>
      </c>
      <c r="N45" s="80" t="n">
        <f aca="false">IF(N$5="A",IF(N13&gt;0,1,0),M45)</f>
        <v>0</v>
      </c>
      <c r="O45" s="80" t="n">
        <f aca="false">IF(O$5="A",IF(O13&gt;0,1,0),N45)</f>
        <v>0</v>
      </c>
      <c r="P45" s="80" t="n">
        <f aca="false">IF(P$5="A",IF(P13&gt;0,1,0),O45)</f>
        <v>0</v>
      </c>
      <c r="Q45" s="80" t="n">
        <f aca="false">IF(Q$5="A",IF(Q13&gt;0,1,0),P45)</f>
        <v>0</v>
      </c>
      <c r="R45" s="69" t="n">
        <f aca="false">IF(R$5="A",IF(R13&gt;0,1,0),Q45*Account_Register!$M$11)</f>
        <v>0</v>
      </c>
      <c r="S45" s="80" t="n">
        <f aca="false">IF(S$5="A",IF(S13&gt;0,1,0),R45)</f>
        <v>0</v>
      </c>
      <c r="T45" s="80" t="n">
        <f aca="false">IF(T$5="A",IF(T13&gt;0,1,0),S45)</f>
        <v>0</v>
      </c>
      <c r="U45" s="80" t="n">
        <f aca="false">IF(U$5="A",IF(U13&gt;0,1,0),T45)</f>
        <v>0</v>
      </c>
      <c r="V45" s="80" t="n">
        <f aca="false">IF(V$5="A",IF(V13&gt;0,1,0),U45)</f>
        <v>0</v>
      </c>
      <c r="W45" s="80" t="n">
        <f aca="false">IF(W$5="A",IF(W13&gt;0,1,0),V45)</f>
        <v>0</v>
      </c>
      <c r="X45" s="80" t="n">
        <f aca="false">IF(X$5="A",IF(X13&gt;0,1,0),W45)</f>
        <v>0</v>
      </c>
      <c r="Y45" s="80" t="n">
        <f aca="false">IF(Y$5="A",IF(Y13&gt;0,1,0),X45)</f>
        <v>0</v>
      </c>
      <c r="Z45" s="80" t="n">
        <f aca="false">IF(Z$5="A",IF(Z13&gt;0,1,0),Y45)</f>
        <v>0</v>
      </c>
      <c r="AA45" s="80" t="n">
        <f aca="false">IF(AA$5="A",IF(AA13&gt;0,1,0),Z45)</f>
        <v>0</v>
      </c>
      <c r="AB45" s="80" t="n">
        <f aca="false">IF(AB$5="A",IF(AB13&gt;0,1,0),AA45)</f>
        <v>0</v>
      </c>
    </row>
    <row r="46" customFormat="false" ht="15" hidden="false" customHeight="false" outlineLevel="0" collapsed="false">
      <c r="A46" s="28" t="s">
        <v>1006</v>
      </c>
      <c r="B46" s="63"/>
      <c r="C46" s="68" t="n">
        <f aca="false">P46</f>
        <v>1</v>
      </c>
      <c r="D46" s="68" t="n">
        <f aca="false">AB46</f>
        <v>0.94</v>
      </c>
      <c r="E46" s="69" t="n">
        <f aca="false">IF(E$5="A",IF(E14&gt;0,1,0),IF(Account_Register!$H$12&gt;0,1,0))</f>
        <v>1</v>
      </c>
      <c r="F46" s="80" t="n">
        <f aca="false">IF(F$5="A",IF(F14&gt;0,1,0),E46)</f>
        <v>1</v>
      </c>
      <c r="G46" s="80" t="n">
        <f aca="false">IF(G$5="A",IF(G14&gt;0,1,0),F46)</f>
        <v>1</v>
      </c>
      <c r="H46" s="80" t="n">
        <f aca="false">IF(H$5="A",IF(H14&gt;0,1,0),G46)</f>
        <v>1</v>
      </c>
      <c r="I46" s="69" t="n">
        <f aca="false">IF(I$5="A",IF(I14&gt;0,1,0),H46*Account_Register!$M$12)</f>
        <v>1</v>
      </c>
      <c r="J46" s="80" t="n">
        <f aca="false">IF(J$5="A",IF(J14&gt;0,1,0),I46)</f>
        <v>1</v>
      </c>
      <c r="K46" s="80" t="n">
        <f aca="false">IF(K$5="A",IF(K14&gt;0,1,0),J46)</f>
        <v>1</v>
      </c>
      <c r="L46" s="80" t="n">
        <f aca="false">IF(L$5="A",IF(L14&gt;0,1,0),K46)</f>
        <v>1</v>
      </c>
      <c r="M46" s="80" t="n">
        <f aca="false">IF(M$5="A",IF(M14&gt;0,1,0),L46)</f>
        <v>1</v>
      </c>
      <c r="N46" s="80" t="n">
        <f aca="false">IF(N$5="A",IF(N14&gt;0,1,0),M46)</f>
        <v>1</v>
      </c>
      <c r="O46" s="80" t="n">
        <f aca="false">IF(O$5="A",IF(O14&gt;0,1,0),N46)</f>
        <v>1</v>
      </c>
      <c r="P46" s="80" t="n">
        <f aca="false">IF(P$5="A",IF(P14&gt;0,1,0),O46)</f>
        <v>1</v>
      </c>
      <c r="Q46" s="80" t="n">
        <f aca="false">IF(Q$5="A",IF(Q14&gt;0,1,0),P46)</f>
        <v>1</v>
      </c>
      <c r="R46" s="80" t="n">
        <f aca="false">IF(R$5="A",IF(R14&gt;0,1,0),Q46)</f>
        <v>1</v>
      </c>
      <c r="S46" s="80" t="n">
        <f aca="false">IF(S$5="A",IF(S14&gt;0,1,0),R46)</f>
        <v>1</v>
      </c>
      <c r="T46" s="80" t="n">
        <f aca="false">IF(T$5="A",IF(T14&gt;0,1,0),S46)</f>
        <v>1</v>
      </c>
      <c r="U46" s="69" t="n">
        <f aca="false">IF(U$5="A",IF(U14&gt;0,1,0),T46*Account_Register!$M$12)</f>
        <v>0.94</v>
      </c>
      <c r="V46" s="80" t="n">
        <f aca="false">IF(V$5="A",IF(V14&gt;0,1,0),U46)</f>
        <v>0.94</v>
      </c>
      <c r="W46" s="80" t="n">
        <f aca="false">IF(W$5="A",IF(W14&gt;0,1,0),V46)</f>
        <v>0.94</v>
      </c>
      <c r="X46" s="80" t="n">
        <f aca="false">IF(X$5="A",IF(X14&gt;0,1,0),W46)</f>
        <v>0.94</v>
      </c>
      <c r="Y46" s="80" t="n">
        <f aca="false">IF(Y$5="A",IF(Y14&gt;0,1,0),X46)</f>
        <v>0.94</v>
      </c>
      <c r="Z46" s="80" t="n">
        <f aca="false">IF(Z$5="A",IF(Z14&gt;0,1,0),Y46)</f>
        <v>0.94</v>
      </c>
      <c r="AA46" s="80" t="n">
        <f aca="false">IF(AA$5="A",IF(AA14&gt;0,1,0),Z46)</f>
        <v>0.94</v>
      </c>
      <c r="AB46" s="80" t="n">
        <f aca="false">IF(AB$5="A",IF(AB14&gt;0,1,0),AA46)</f>
        <v>0.94</v>
      </c>
    </row>
    <row r="47" customFormat="false" ht="15" hidden="false" customHeight="false" outlineLevel="0" collapsed="false">
      <c r="A47" s="28" t="s">
        <v>1007</v>
      </c>
      <c r="B47" s="63"/>
      <c r="C47" s="68" t="n">
        <f aca="false">P47</f>
        <v>0.92</v>
      </c>
      <c r="D47" s="68" t="n">
        <f aca="false">AB47</f>
        <v>0.8464</v>
      </c>
      <c r="E47" s="69" t="n">
        <f aca="false">IF(E$5="A",IF(E15&gt;0,1,0),IF(Account_Register!$H$13&gt;0,1,0))</f>
        <v>1</v>
      </c>
      <c r="F47" s="80" t="n">
        <f aca="false">IF(F$5="A",IF(F15&gt;0,1,0),E47)</f>
        <v>1</v>
      </c>
      <c r="G47" s="80" t="n">
        <f aca="false">IF(G$5="A",IF(G15&gt;0,1,0),F47)</f>
        <v>1</v>
      </c>
      <c r="H47" s="80" t="n">
        <f aca="false">IF(H$5="A",IF(H15&gt;0,1,0),G47)</f>
        <v>1</v>
      </c>
      <c r="I47" s="80" t="n">
        <f aca="false">IF(I$5="A",IF(I15&gt;0,1,0),H47)</f>
        <v>1</v>
      </c>
      <c r="J47" s="80" t="n">
        <f aca="false">IF(J$5="A",IF(J15&gt;0,1,0),I47)</f>
        <v>1</v>
      </c>
      <c r="K47" s="80" t="n">
        <f aca="false">IF(K$5="A",IF(K15&gt;0,1,0),J47)</f>
        <v>1</v>
      </c>
      <c r="L47" s="80" t="n">
        <f aca="false">IF(L$5="A",IF(L15&gt;0,1,0),K47)</f>
        <v>1</v>
      </c>
      <c r="M47" s="69" t="n">
        <f aca="false">IF(M$5="A",IF(M15&gt;0,1,0),L47*Account_Register!$M$13)</f>
        <v>0.92</v>
      </c>
      <c r="N47" s="80" t="n">
        <f aca="false">IF(N$5="A",IF(N15&gt;0,1,0),M47)</f>
        <v>0.92</v>
      </c>
      <c r="O47" s="80" t="n">
        <f aca="false">IF(O$5="A",IF(O15&gt;0,1,0),N47)</f>
        <v>0.92</v>
      </c>
      <c r="P47" s="80" t="n">
        <f aca="false">IF(P$5="A",IF(P15&gt;0,1,0),O47)</f>
        <v>0.92</v>
      </c>
      <c r="Q47" s="80" t="n">
        <f aca="false">IF(Q$5="A",IF(Q15&gt;0,1,0),P47)</f>
        <v>0.92</v>
      </c>
      <c r="R47" s="80" t="n">
        <f aca="false">IF(R$5="A",IF(R15&gt;0,1,0),Q47)</f>
        <v>0.92</v>
      </c>
      <c r="S47" s="80" t="n">
        <f aca="false">IF(S$5="A",IF(S15&gt;0,1,0),R47)</f>
        <v>0.92</v>
      </c>
      <c r="T47" s="80" t="n">
        <f aca="false">IF(T$5="A",IF(T15&gt;0,1,0),S47)</f>
        <v>0.92</v>
      </c>
      <c r="U47" s="80" t="n">
        <f aca="false">IF(U$5="A",IF(U15&gt;0,1,0),T47)</f>
        <v>0.92</v>
      </c>
      <c r="V47" s="80" t="n">
        <f aca="false">IF(V$5="A",IF(V15&gt;0,1,0),U47)</f>
        <v>0.92</v>
      </c>
      <c r="W47" s="80" t="n">
        <f aca="false">IF(W$5="A",IF(W15&gt;0,1,0),V47)</f>
        <v>0.92</v>
      </c>
      <c r="X47" s="80" t="n">
        <f aca="false">IF(X$5="A",IF(X15&gt;0,1,0),W47)</f>
        <v>0.92</v>
      </c>
      <c r="Y47" s="69" t="n">
        <f aca="false">IF(Y$5="A",IF(Y15&gt;0,1,0),X47*Account_Register!$M$13)</f>
        <v>0.8464</v>
      </c>
      <c r="Z47" s="80" t="n">
        <f aca="false">IF(Z$5="A",IF(Z15&gt;0,1,0),Y47)</f>
        <v>0.8464</v>
      </c>
      <c r="AA47" s="80" t="n">
        <f aca="false">IF(AA$5="A",IF(AA15&gt;0,1,0),Z47)</f>
        <v>0.8464</v>
      </c>
      <c r="AB47" s="80" t="n">
        <f aca="false">IF(AB$5="A",IF(AB15&gt;0,1,0),AA47)</f>
        <v>0.8464</v>
      </c>
    </row>
    <row r="48" customFormat="false" ht="15" hidden="false" customHeight="false" outlineLevel="0" collapsed="false">
      <c r="A48" s="28" t="s">
        <v>1008</v>
      </c>
      <c r="B48" s="63"/>
      <c r="C48" s="68" t="n">
        <f aca="false">P48</f>
        <v>0.95</v>
      </c>
      <c r="D48" s="68" t="n">
        <f aca="false">AB48</f>
        <v>0.9025</v>
      </c>
      <c r="E48" s="69" t="n">
        <f aca="false">IF(E$5="A",IF(E16&gt;0,1,0),IF(Account_Register!$H$14&gt;0,1,0))</f>
        <v>1</v>
      </c>
      <c r="F48" s="80" t="n">
        <f aca="false">IF(F$5="A",IF(F16&gt;0,1,0),E48)</f>
        <v>1</v>
      </c>
      <c r="G48" s="80" t="n">
        <f aca="false">IF(G$5="A",IF(G16&gt;0,1,0),F48)</f>
        <v>1</v>
      </c>
      <c r="H48" s="80" t="n">
        <f aca="false">IF(H$5="A",IF(H16&gt;0,1,0),G48)</f>
        <v>1</v>
      </c>
      <c r="I48" s="80" t="n">
        <f aca="false">IF(I$5="A",IF(I16&gt;0,1,0),H48)</f>
        <v>1</v>
      </c>
      <c r="J48" s="80" t="n">
        <f aca="false">IF(J$5="A",IF(J16&gt;0,1,0),I48)</f>
        <v>1</v>
      </c>
      <c r="K48" s="80" t="n">
        <f aca="false">IF(K$5="A",IF(K16&gt;0,1,0),J48)</f>
        <v>1</v>
      </c>
      <c r="L48" s="80" t="n">
        <f aca="false">IF(L$5="A",IF(L16&gt;0,1,0),K48)</f>
        <v>1</v>
      </c>
      <c r="M48" s="80" t="n">
        <f aca="false">IF(M$5="A",IF(M16&gt;0,1,0),L48)</f>
        <v>1</v>
      </c>
      <c r="N48" s="80" t="n">
        <f aca="false">IF(N$5="A",IF(N16&gt;0,1,0),M48)</f>
        <v>1</v>
      </c>
      <c r="O48" s="69" t="n">
        <f aca="false">IF(O$5="A",IF(O16&gt;0,1,0),N48*Account_Register!$M$14)</f>
        <v>0.95</v>
      </c>
      <c r="P48" s="80" t="n">
        <f aca="false">IF(P$5="A",IF(P16&gt;0,1,0),O48)</f>
        <v>0.95</v>
      </c>
      <c r="Q48" s="80" t="n">
        <f aca="false">IF(Q$5="A",IF(Q16&gt;0,1,0),P48)</f>
        <v>0.95</v>
      </c>
      <c r="R48" s="80" t="n">
        <f aca="false">IF(R$5="A",IF(R16&gt;0,1,0),Q48)</f>
        <v>0.95</v>
      </c>
      <c r="S48" s="80" t="n">
        <f aca="false">IF(S$5="A",IF(S16&gt;0,1,0),R48)</f>
        <v>0.95</v>
      </c>
      <c r="T48" s="80" t="n">
        <f aca="false">IF(T$5="A",IF(T16&gt;0,1,0),S48)</f>
        <v>0.95</v>
      </c>
      <c r="U48" s="80" t="n">
        <f aca="false">IF(U$5="A",IF(U16&gt;0,1,0),T48)</f>
        <v>0.95</v>
      </c>
      <c r="V48" s="80" t="n">
        <f aca="false">IF(V$5="A",IF(V16&gt;0,1,0),U48)</f>
        <v>0.95</v>
      </c>
      <c r="W48" s="80" t="n">
        <f aca="false">IF(W$5="A",IF(W16&gt;0,1,0),V48)</f>
        <v>0.95</v>
      </c>
      <c r="X48" s="80" t="n">
        <f aca="false">IF(X$5="A",IF(X16&gt;0,1,0),W48)</f>
        <v>0.95</v>
      </c>
      <c r="Y48" s="80" t="n">
        <f aca="false">IF(Y$5="A",IF(Y16&gt;0,1,0),X48)</f>
        <v>0.95</v>
      </c>
      <c r="Z48" s="80" t="n">
        <f aca="false">IF(Z$5="A",IF(Z16&gt;0,1,0),Y48)</f>
        <v>0.95</v>
      </c>
      <c r="AA48" s="69" t="n">
        <f aca="false">IF(AA$5="A",IF(AA16&gt;0,1,0),Z48*Account_Register!$M$14)</f>
        <v>0.9025</v>
      </c>
      <c r="AB48" s="80" t="n">
        <f aca="false">IF(AB$5="A",IF(AB16&gt;0,1,0),AA48)</f>
        <v>0.9025</v>
      </c>
    </row>
    <row r="49" customFormat="false" ht="15" hidden="false" customHeight="false" outlineLevel="0" collapsed="false">
      <c r="A49" s="28" t="s">
        <v>1009</v>
      </c>
      <c r="B49" s="63"/>
      <c r="C49" s="68" t="n">
        <f aca="false">P49</f>
        <v>1</v>
      </c>
      <c r="D49" s="68" t="n">
        <f aca="false">AB49</f>
        <v>0.95</v>
      </c>
      <c r="E49" s="69" t="n">
        <f aca="false">IF(E$5="A",IF(E17&gt;0,1,0),IF(Account_Register!$H$15&gt;0,1,0)*Account_Register!$M$15)</f>
        <v>1</v>
      </c>
      <c r="F49" s="80" t="n">
        <f aca="false">IF(F$5="A",IF(F17&gt;0,1,0),E49)</f>
        <v>1</v>
      </c>
      <c r="G49" s="80" t="n">
        <f aca="false">IF(G$5="A",IF(G17&gt;0,1,0),F49)</f>
        <v>1</v>
      </c>
      <c r="H49" s="80" t="n">
        <f aca="false">IF(H$5="A",IF(H17&gt;0,1,0),G49)</f>
        <v>1</v>
      </c>
      <c r="I49" s="80" t="n">
        <f aca="false">IF(I$5="A",IF(I17&gt;0,1,0),H49)</f>
        <v>1</v>
      </c>
      <c r="J49" s="80" t="n">
        <f aca="false">IF(J$5="A",IF(J17&gt;0,1,0),I49)</f>
        <v>1</v>
      </c>
      <c r="K49" s="80" t="n">
        <f aca="false">IF(K$5="A",IF(K17&gt;0,1,0),J49)</f>
        <v>1</v>
      </c>
      <c r="L49" s="80" t="n">
        <f aca="false">IF(L$5="A",IF(L17&gt;0,1,0),K49)</f>
        <v>1</v>
      </c>
      <c r="M49" s="80" t="n">
        <f aca="false">IF(M$5="A",IF(M17&gt;0,1,0),L49)</f>
        <v>1</v>
      </c>
      <c r="N49" s="80" t="n">
        <f aca="false">IF(N$5="A",IF(N17&gt;0,1,0),M49)</f>
        <v>1</v>
      </c>
      <c r="O49" s="80" t="n">
        <f aca="false">IF(O$5="A",IF(O17&gt;0,1,0),N49)</f>
        <v>1</v>
      </c>
      <c r="P49" s="80" t="n">
        <f aca="false">IF(P$5="A",IF(P17&gt;0,1,0),O49)</f>
        <v>1</v>
      </c>
      <c r="Q49" s="69" t="n">
        <f aca="false">IF(Q$5="A",IF(Q17&gt;0,1,0),P49*Account_Register!$M$15)</f>
        <v>0.95</v>
      </c>
      <c r="R49" s="80" t="n">
        <f aca="false">IF(R$5="A",IF(R17&gt;0,1,0),Q49)</f>
        <v>0.95</v>
      </c>
      <c r="S49" s="80" t="n">
        <f aca="false">IF(S$5="A",IF(S17&gt;0,1,0),R49)</f>
        <v>0.95</v>
      </c>
      <c r="T49" s="80" t="n">
        <f aca="false">IF(T$5="A",IF(T17&gt;0,1,0),S49)</f>
        <v>0.95</v>
      </c>
      <c r="U49" s="80" t="n">
        <f aca="false">IF(U$5="A",IF(U17&gt;0,1,0),T49)</f>
        <v>0.95</v>
      </c>
      <c r="V49" s="80" t="n">
        <f aca="false">IF(V$5="A",IF(V17&gt;0,1,0),U49)</f>
        <v>0.95</v>
      </c>
      <c r="W49" s="80" t="n">
        <f aca="false">IF(W$5="A",IF(W17&gt;0,1,0),V49)</f>
        <v>0.95</v>
      </c>
      <c r="X49" s="80" t="n">
        <f aca="false">IF(X$5="A",IF(X17&gt;0,1,0),W49)</f>
        <v>0.95</v>
      </c>
      <c r="Y49" s="80" t="n">
        <f aca="false">IF(Y$5="A",IF(Y17&gt;0,1,0),X49)</f>
        <v>0.95</v>
      </c>
      <c r="Z49" s="80" t="n">
        <f aca="false">IF(Z$5="A",IF(Z17&gt;0,1,0),Y49)</f>
        <v>0.95</v>
      </c>
      <c r="AA49" s="80" t="n">
        <f aca="false">IF(AA$5="A",IF(AA17&gt;0,1,0),Z49)</f>
        <v>0.95</v>
      </c>
      <c r="AB49" s="80" t="n">
        <f aca="false">IF(AB$5="A",IF(AB17&gt;0,1,0),AA49)</f>
        <v>0.95</v>
      </c>
    </row>
    <row r="50" customFormat="false" ht="15" hidden="false" customHeight="false" outlineLevel="0" collapsed="false">
      <c r="A50" s="28" t="s">
        <v>1010</v>
      </c>
      <c r="B50" s="63"/>
      <c r="C50" s="68" t="n">
        <f aca="false">P50</f>
        <v>1</v>
      </c>
      <c r="D50" s="68" t="n">
        <f aca="false">AB50</f>
        <v>0.93</v>
      </c>
      <c r="E50" s="69" t="n">
        <f aca="false">IF(E$5="A",IF(E18&gt;0,1,0),IF(Account_Register!$H$16&gt;0,1,0))</f>
        <v>1</v>
      </c>
      <c r="F50" s="80" t="n">
        <f aca="false">IF(F$5="A",IF(F18&gt;0,1,0),E50)</f>
        <v>1</v>
      </c>
      <c r="G50" s="69" t="n">
        <f aca="false">IF(G$5="A",IF(G18&gt;0,1,0),F50*Account_Register!$M$16)</f>
        <v>1</v>
      </c>
      <c r="H50" s="80" t="n">
        <f aca="false">IF(H$5="A",IF(H18&gt;0,1,0),G50)</f>
        <v>1</v>
      </c>
      <c r="I50" s="80" t="n">
        <f aca="false">IF(I$5="A",IF(I18&gt;0,1,0),H50)</f>
        <v>1</v>
      </c>
      <c r="J50" s="80" t="n">
        <f aca="false">IF(J$5="A",IF(J18&gt;0,1,0),I50)</f>
        <v>1</v>
      </c>
      <c r="K50" s="80" t="n">
        <f aca="false">IF(K$5="A",IF(K18&gt;0,1,0),J50)</f>
        <v>1</v>
      </c>
      <c r="L50" s="80" t="n">
        <f aca="false">IF(L$5="A",IF(L18&gt;0,1,0),K50)</f>
        <v>1</v>
      </c>
      <c r="M50" s="80" t="n">
        <f aca="false">IF(M$5="A",IF(M18&gt;0,1,0),L50)</f>
        <v>1</v>
      </c>
      <c r="N50" s="80" t="n">
        <f aca="false">IF(N$5="A",IF(N18&gt;0,1,0),M50)</f>
        <v>1</v>
      </c>
      <c r="O50" s="80" t="n">
        <f aca="false">IF(O$5="A",IF(O18&gt;0,1,0),N50)</f>
        <v>1</v>
      </c>
      <c r="P50" s="80" t="n">
        <f aca="false">IF(P$5="A",IF(P18&gt;0,1,0),O50)</f>
        <v>1</v>
      </c>
      <c r="Q50" s="80" t="n">
        <f aca="false">IF(Q$5="A",IF(Q18&gt;0,1,0),P50)</f>
        <v>1</v>
      </c>
      <c r="R50" s="80" t="n">
        <f aca="false">IF(R$5="A",IF(R18&gt;0,1,0),Q50)</f>
        <v>1</v>
      </c>
      <c r="S50" s="69" t="n">
        <f aca="false">IF(S$5="A",IF(S18&gt;0,1,0),R50*Account_Register!$M$16)</f>
        <v>0.93</v>
      </c>
      <c r="T50" s="80" t="n">
        <f aca="false">IF(T$5="A",IF(T18&gt;0,1,0),S50)</f>
        <v>0.93</v>
      </c>
      <c r="U50" s="80" t="n">
        <f aca="false">IF(U$5="A",IF(U18&gt;0,1,0),T50)</f>
        <v>0.93</v>
      </c>
      <c r="V50" s="80" t="n">
        <f aca="false">IF(V$5="A",IF(V18&gt;0,1,0),U50)</f>
        <v>0.93</v>
      </c>
      <c r="W50" s="80" t="n">
        <f aca="false">IF(W$5="A",IF(W18&gt;0,1,0),V50)</f>
        <v>0.93</v>
      </c>
      <c r="X50" s="80" t="n">
        <f aca="false">IF(X$5="A",IF(X18&gt;0,1,0),W50)</f>
        <v>0.93</v>
      </c>
      <c r="Y50" s="80" t="n">
        <f aca="false">IF(Y$5="A",IF(Y18&gt;0,1,0),X50)</f>
        <v>0.93</v>
      </c>
      <c r="Z50" s="80" t="n">
        <f aca="false">IF(Z$5="A",IF(Z18&gt;0,1,0),Y50)</f>
        <v>0.93</v>
      </c>
      <c r="AA50" s="80" t="n">
        <f aca="false">IF(AA$5="A",IF(AA18&gt;0,1,0),Z50)</f>
        <v>0.93</v>
      </c>
      <c r="AB50" s="80" t="n">
        <f aca="false">IF(AB$5="A",IF(AB18&gt;0,1,0),AA50)</f>
        <v>0.93</v>
      </c>
    </row>
    <row r="51" customFormat="false" ht="15" hidden="false" customHeight="false" outlineLevel="0" collapsed="false">
      <c r="A51" s="28" t="s">
        <v>1011</v>
      </c>
      <c r="B51" s="63"/>
      <c r="C51" s="68" t="n">
        <f aca="false">P51</f>
        <v>1</v>
      </c>
      <c r="D51" s="68" t="n">
        <f aca="false">AB51</f>
        <v>0.94</v>
      </c>
      <c r="E51" s="69" t="n">
        <f aca="false">IF(E$5="A",IF(E19&gt;0,1,0),IF(Account_Register!$H$17&gt;0,1,0))</f>
        <v>1</v>
      </c>
      <c r="F51" s="80" t="n">
        <f aca="false">IF(F$5="A",IF(F19&gt;0,1,0),E51)</f>
        <v>1</v>
      </c>
      <c r="G51" s="80" t="n">
        <f aca="false">IF(G$5="A",IF(G19&gt;0,1,0),F51)</f>
        <v>1</v>
      </c>
      <c r="H51" s="69" t="n">
        <f aca="false">IF(H$5="A",IF(H19&gt;0,1,0),G51*Account_Register!$M$17)</f>
        <v>1</v>
      </c>
      <c r="I51" s="80" t="n">
        <f aca="false">IF(I$5="A",IF(I19&gt;0,1,0),H51)</f>
        <v>1</v>
      </c>
      <c r="J51" s="80" t="n">
        <f aca="false">IF(J$5="A",IF(J19&gt;0,1,0),I51)</f>
        <v>1</v>
      </c>
      <c r="K51" s="80" t="n">
        <f aca="false">IF(K$5="A",IF(K19&gt;0,1,0),J51)</f>
        <v>1</v>
      </c>
      <c r="L51" s="80" t="n">
        <f aca="false">IF(L$5="A",IF(L19&gt;0,1,0),K51)</f>
        <v>1</v>
      </c>
      <c r="M51" s="80" t="n">
        <f aca="false">IF(M$5="A",IF(M19&gt;0,1,0),L51)</f>
        <v>1</v>
      </c>
      <c r="N51" s="80" t="n">
        <f aca="false">IF(N$5="A",IF(N19&gt;0,1,0),M51)</f>
        <v>1</v>
      </c>
      <c r="O51" s="80" t="n">
        <f aca="false">IF(O$5="A",IF(O19&gt;0,1,0),N51)</f>
        <v>1</v>
      </c>
      <c r="P51" s="80" t="n">
        <f aca="false">IF(P$5="A",IF(P19&gt;0,1,0),O51)</f>
        <v>1</v>
      </c>
      <c r="Q51" s="80" t="n">
        <f aca="false">IF(Q$5="A",IF(Q19&gt;0,1,0),P51)</f>
        <v>1</v>
      </c>
      <c r="R51" s="80" t="n">
        <f aca="false">IF(R$5="A",IF(R19&gt;0,1,0),Q51)</f>
        <v>1</v>
      </c>
      <c r="S51" s="80" t="n">
        <f aca="false">IF(S$5="A",IF(S19&gt;0,1,0),R51)</f>
        <v>1</v>
      </c>
      <c r="T51" s="69" t="n">
        <f aca="false">IF(T$5="A",IF(T19&gt;0,1,0),S51*Account_Register!$M$17)</f>
        <v>0.94</v>
      </c>
      <c r="U51" s="80" t="n">
        <f aca="false">IF(U$5="A",IF(U19&gt;0,1,0),T51)</f>
        <v>0.94</v>
      </c>
      <c r="V51" s="80" t="n">
        <f aca="false">IF(V$5="A",IF(V19&gt;0,1,0),U51)</f>
        <v>0.94</v>
      </c>
      <c r="W51" s="80" t="n">
        <f aca="false">IF(W$5="A",IF(W19&gt;0,1,0),V51)</f>
        <v>0.94</v>
      </c>
      <c r="X51" s="80" t="n">
        <f aca="false">IF(X$5="A",IF(X19&gt;0,1,0),W51)</f>
        <v>0.94</v>
      </c>
      <c r="Y51" s="80" t="n">
        <f aca="false">IF(Y$5="A",IF(Y19&gt;0,1,0),X51)</f>
        <v>0.94</v>
      </c>
      <c r="Z51" s="80" t="n">
        <f aca="false">IF(Z$5="A",IF(Z19&gt;0,1,0),Y51)</f>
        <v>0.94</v>
      </c>
      <c r="AA51" s="80" t="n">
        <f aca="false">IF(AA$5="A",IF(AA19&gt;0,1,0),Z51)</f>
        <v>0.94</v>
      </c>
      <c r="AB51" s="80" t="n">
        <f aca="false">IF(AB$5="A",IF(AB19&gt;0,1,0),AA51)</f>
        <v>0.94</v>
      </c>
    </row>
    <row r="52" customFormat="false" ht="15" hidden="false" customHeight="false" outlineLevel="0" collapsed="false">
      <c r="A52" s="28" t="s">
        <v>1012</v>
      </c>
      <c r="B52" s="63"/>
      <c r="C52" s="68" t="n">
        <f aca="false">P52</f>
        <v>1</v>
      </c>
      <c r="D52" s="68" t="n">
        <f aca="false">AB52</f>
        <v>0.92</v>
      </c>
      <c r="E52" s="69" t="n">
        <f aca="false">IF(E$5="A",IF(E20&gt;0,1,0),IF(Account_Register!$H$18&gt;0,1,0))</f>
        <v>1</v>
      </c>
      <c r="F52" s="80" t="n">
        <f aca="false">IF(F$5="A",IF(F20&gt;0,1,0),E52)</f>
        <v>1</v>
      </c>
      <c r="G52" s="80" t="n">
        <f aca="false">IF(G$5="A",IF(G20&gt;0,1,0),F52)</f>
        <v>1</v>
      </c>
      <c r="H52" s="80" t="n">
        <f aca="false">IF(H$5="A",IF(H20&gt;0,1,0),G52)</f>
        <v>1</v>
      </c>
      <c r="I52" s="80" t="n">
        <f aca="false">IF(I$5="A",IF(I20&gt;0,1,0),H52)</f>
        <v>1</v>
      </c>
      <c r="J52" s="69" t="n">
        <f aca="false">IF(J$5="A",IF(J20&gt;0,1,0),I52*Account_Register!$M$18)</f>
        <v>1</v>
      </c>
      <c r="K52" s="80" t="n">
        <f aca="false">IF(K$5="A",IF(K20&gt;0,1,0),J52)</f>
        <v>1</v>
      </c>
      <c r="L52" s="80" t="n">
        <f aca="false">IF(L$5="A",IF(L20&gt;0,1,0),K52)</f>
        <v>1</v>
      </c>
      <c r="M52" s="80" t="n">
        <f aca="false">IF(M$5="A",IF(M20&gt;0,1,0),L52)</f>
        <v>1</v>
      </c>
      <c r="N52" s="80" t="n">
        <f aca="false">IF(N$5="A",IF(N20&gt;0,1,0),M52)</f>
        <v>1</v>
      </c>
      <c r="O52" s="80" t="n">
        <f aca="false">IF(O$5="A",IF(O20&gt;0,1,0),N52)</f>
        <v>1</v>
      </c>
      <c r="P52" s="80" t="n">
        <f aca="false">IF(P$5="A",IF(P20&gt;0,1,0),O52)</f>
        <v>1</v>
      </c>
      <c r="Q52" s="80" t="n">
        <f aca="false">IF(Q$5="A",IF(Q20&gt;0,1,0),P52)</f>
        <v>1</v>
      </c>
      <c r="R52" s="80" t="n">
        <f aca="false">IF(R$5="A",IF(R20&gt;0,1,0),Q52)</f>
        <v>1</v>
      </c>
      <c r="S52" s="80" t="n">
        <f aca="false">IF(S$5="A",IF(S20&gt;0,1,0),R52)</f>
        <v>1</v>
      </c>
      <c r="T52" s="80" t="n">
        <f aca="false">IF(T$5="A",IF(T20&gt;0,1,0),S52)</f>
        <v>1</v>
      </c>
      <c r="U52" s="80" t="n">
        <f aca="false">IF(U$5="A",IF(U20&gt;0,1,0),T52)</f>
        <v>1</v>
      </c>
      <c r="V52" s="69" t="n">
        <f aca="false">IF(V$5="A",IF(V20&gt;0,1,0),U52*Account_Register!$M$18)</f>
        <v>0.92</v>
      </c>
      <c r="W52" s="80" t="n">
        <f aca="false">IF(W$5="A",IF(W20&gt;0,1,0),V52)</f>
        <v>0.92</v>
      </c>
      <c r="X52" s="80" t="n">
        <f aca="false">IF(X$5="A",IF(X20&gt;0,1,0),W52)</f>
        <v>0.92</v>
      </c>
      <c r="Y52" s="80" t="n">
        <f aca="false">IF(Y$5="A",IF(Y20&gt;0,1,0),X52)</f>
        <v>0.92</v>
      </c>
      <c r="Z52" s="80" t="n">
        <f aca="false">IF(Z$5="A",IF(Z20&gt;0,1,0),Y52)</f>
        <v>0.92</v>
      </c>
      <c r="AA52" s="80" t="n">
        <f aca="false">IF(AA$5="A",IF(AA20&gt;0,1,0),Z52)</f>
        <v>0.92</v>
      </c>
      <c r="AB52" s="80" t="n">
        <f aca="false">IF(AB$5="A",IF(AB20&gt;0,1,0),AA52)</f>
        <v>0.92</v>
      </c>
    </row>
    <row r="53" customFormat="false" ht="15" hidden="false" customHeight="false" outlineLevel="0" collapsed="false">
      <c r="A53" s="28" t="s">
        <v>1013</v>
      </c>
      <c r="B53" s="63"/>
      <c r="C53" s="68" t="n">
        <f aca="false">P53</f>
        <v>0.94</v>
      </c>
      <c r="D53" s="68" t="n">
        <f aca="false">AB53</f>
        <v>0.8836</v>
      </c>
      <c r="E53" s="69" t="n">
        <f aca="false">IF(E$5="A",IF(E21&gt;0,1,0),IF(Account_Register!$H$19&gt;0,1,0))</f>
        <v>1</v>
      </c>
      <c r="F53" s="80" t="n">
        <f aca="false">IF(F$5="A",IF(F21&gt;0,1,0),E53)</f>
        <v>1</v>
      </c>
      <c r="G53" s="80" t="n">
        <f aca="false">IF(G$5="A",IF(G21&gt;0,1,0),F53)</f>
        <v>1</v>
      </c>
      <c r="H53" s="80" t="n">
        <f aca="false">IF(H$5="A",IF(H21&gt;0,1,0),G53)</f>
        <v>1</v>
      </c>
      <c r="I53" s="80" t="n">
        <f aca="false">IF(I$5="A",IF(I21&gt;0,1,0),H53)</f>
        <v>1</v>
      </c>
      <c r="J53" s="80" t="n">
        <f aca="false">IF(J$5="A",IF(J21&gt;0,1,0),I53)</f>
        <v>1</v>
      </c>
      <c r="K53" s="80" t="n">
        <f aca="false">IF(K$5="A",IF(K21&gt;0,1,0),J53)</f>
        <v>1</v>
      </c>
      <c r="L53" s="80" t="n">
        <f aca="false">IF(L$5="A",IF(L21&gt;0,1,0),K53)</f>
        <v>1</v>
      </c>
      <c r="M53" s="69" t="n">
        <f aca="false">IF(M$5="A",IF(M21&gt;0,1,0),L53*Account_Register!$M$19)</f>
        <v>0.94</v>
      </c>
      <c r="N53" s="80" t="n">
        <f aca="false">IF(N$5="A",IF(N21&gt;0,1,0),M53)</f>
        <v>0.94</v>
      </c>
      <c r="O53" s="80" t="n">
        <f aca="false">IF(O$5="A",IF(O21&gt;0,1,0),N53)</f>
        <v>0.94</v>
      </c>
      <c r="P53" s="80" t="n">
        <f aca="false">IF(P$5="A",IF(P21&gt;0,1,0),O53)</f>
        <v>0.94</v>
      </c>
      <c r="Q53" s="80" t="n">
        <f aca="false">IF(Q$5="A",IF(Q21&gt;0,1,0),P53)</f>
        <v>0.94</v>
      </c>
      <c r="R53" s="80" t="n">
        <f aca="false">IF(R$5="A",IF(R21&gt;0,1,0),Q53)</f>
        <v>0.94</v>
      </c>
      <c r="S53" s="80" t="n">
        <f aca="false">IF(S$5="A",IF(S21&gt;0,1,0),R53)</f>
        <v>0.94</v>
      </c>
      <c r="T53" s="80" t="n">
        <f aca="false">IF(T$5="A",IF(T21&gt;0,1,0),S53)</f>
        <v>0.94</v>
      </c>
      <c r="U53" s="80" t="n">
        <f aca="false">IF(U$5="A",IF(U21&gt;0,1,0),T53)</f>
        <v>0.94</v>
      </c>
      <c r="V53" s="80" t="n">
        <f aca="false">IF(V$5="A",IF(V21&gt;0,1,0),U53)</f>
        <v>0.94</v>
      </c>
      <c r="W53" s="80" t="n">
        <f aca="false">IF(W$5="A",IF(W21&gt;0,1,0),V53)</f>
        <v>0.94</v>
      </c>
      <c r="X53" s="80" t="n">
        <f aca="false">IF(X$5="A",IF(X21&gt;0,1,0),W53)</f>
        <v>0.94</v>
      </c>
      <c r="Y53" s="69" t="n">
        <f aca="false">IF(Y$5="A",IF(Y21&gt;0,1,0),X53*Account_Register!$M$19)</f>
        <v>0.8836</v>
      </c>
      <c r="Z53" s="80" t="n">
        <f aca="false">IF(Z$5="A",IF(Z21&gt;0,1,0),Y53)</f>
        <v>0.8836</v>
      </c>
      <c r="AA53" s="80" t="n">
        <f aca="false">IF(AA$5="A",IF(AA21&gt;0,1,0),Z53)</f>
        <v>0.8836</v>
      </c>
      <c r="AB53" s="80" t="n">
        <f aca="false">IF(AB$5="A",IF(AB21&gt;0,1,0),AA53)</f>
        <v>0.8836</v>
      </c>
    </row>
    <row r="54" customFormat="false" ht="15" hidden="false" customHeight="false" outlineLevel="0" collapsed="false">
      <c r="A54" s="28" t="s">
        <v>1014</v>
      </c>
      <c r="B54" s="63"/>
      <c r="C54" s="68" t="n">
        <f aca="false">P54</f>
        <v>0.9</v>
      </c>
      <c r="D54" s="68" t="n">
        <f aca="false">AB54</f>
        <v>0.81</v>
      </c>
      <c r="E54" s="69" t="n">
        <f aca="false">IF(E$5="A",IF(E22&gt;0,1,0),IF(Account_Register!$H$20&gt;0,1,0))</f>
        <v>1</v>
      </c>
      <c r="F54" s="80" t="n">
        <f aca="false">IF(F$5="A",IF(F22&gt;0,1,0),E54)</f>
        <v>1</v>
      </c>
      <c r="G54" s="80" t="n">
        <f aca="false">IF(G$5="A",IF(G22&gt;0,1,0),F54)</f>
        <v>1</v>
      </c>
      <c r="H54" s="80" t="n">
        <f aca="false">IF(H$5="A",IF(H22&gt;0,1,0),G54)</f>
        <v>1</v>
      </c>
      <c r="I54" s="80" t="n">
        <f aca="false">IF(I$5="A",IF(I22&gt;0,1,0),H54)</f>
        <v>1</v>
      </c>
      <c r="J54" s="80" t="n">
        <f aca="false">IF(J$5="A",IF(J22&gt;0,1,0),I54)</f>
        <v>1</v>
      </c>
      <c r="K54" s="80" t="n">
        <f aca="false">IF(K$5="A",IF(K22&gt;0,1,0),J54)</f>
        <v>1</v>
      </c>
      <c r="L54" s="80" t="n">
        <f aca="false">IF(L$5="A",IF(L22&gt;0,1,0),K54)</f>
        <v>1</v>
      </c>
      <c r="M54" s="80" t="n">
        <f aca="false">IF(M$5="A",IF(M22&gt;0,1,0),L54)</f>
        <v>1</v>
      </c>
      <c r="N54" s="80" t="n">
        <f aca="false">IF(N$5="A",IF(N22&gt;0,1,0),M54)</f>
        <v>1</v>
      </c>
      <c r="O54" s="69" t="n">
        <f aca="false">IF(O$5="A",IF(O22&gt;0,1,0),N54*Account_Register!$M$20)</f>
        <v>0.9</v>
      </c>
      <c r="P54" s="80" t="n">
        <f aca="false">IF(P$5="A",IF(P22&gt;0,1,0),O54)</f>
        <v>0.9</v>
      </c>
      <c r="Q54" s="80" t="n">
        <f aca="false">IF(Q$5="A",IF(Q22&gt;0,1,0),P54)</f>
        <v>0.9</v>
      </c>
      <c r="R54" s="80" t="n">
        <f aca="false">IF(R$5="A",IF(R22&gt;0,1,0),Q54)</f>
        <v>0.9</v>
      </c>
      <c r="S54" s="80" t="n">
        <f aca="false">IF(S$5="A",IF(S22&gt;0,1,0),R54)</f>
        <v>0.9</v>
      </c>
      <c r="T54" s="80" t="n">
        <f aca="false">IF(T$5="A",IF(T22&gt;0,1,0),S54)</f>
        <v>0.9</v>
      </c>
      <c r="U54" s="80" t="n">
        <f aca="false">IF(U$5="A",IF(U22&gt;0,1,0),T54)</f>
        <v>0.9</v>
      </c>
      <c r="V54" s="80" t="n">
        <f aca="false">IF(V$5="A",IF(V22&gt;0,1,0),U54)</f>
        <v>0.9</v>
      </c>
      <c r="W54" s="80" t="n">
        <f aca="false">IF(W$5="A",IF(W22&gt;0,1,0),V54)</f>
        <v>0.9</v>
      </c>
      <c r="X54" s="80" t="n">
        <f aca="false">IF(X$5="A",IF(X22&gt;0,1,0),W54)</f>
        <v>0.9</v>
      </c>
      <c r="Y54" s="80" t="n">
        <f aca="false">IF(Y$5="A",IF(Y22&gt;0,1,0),X54)</f>
        <v>0.9</v>
      </c>
      <c r="Z54" s="80" t="n">
        <f aca="false">IF(Z$5="A",IF(Z22&gt;0,1,0),Y54)</f>
        <v>0.9</v>
      </c>
      <c r="AA54" s="69" t="n">
        <f aca="false">IF(AA$5="A",IF(AA22&gt;0,1,0),Z54*Account_Register!$M$20)</f>
        <v>0.81</v>
      </c>
      <c r="AB54" s="80" t="n">
        <f aca="false">IF(AB$5="A",IF(AB22&gt;0,1,0),AA54)</f>
        <v>0.81</v>
      </c>
    </row>
    <row r="55" customFormat="false" ht="15" hidden="false" customHeight="false" outlineLevel="0" collapsed="false">
      <c r="A55" s="28" t="s">
        <v>1015</v>
      </c>
      <c r="B55" s="63"/>
      <c r="C55" s="68" t="n">
        <f aca="false">P55</f>
        <v>1</v>
      </c>
      <c r="D55" s="68" t="n">
        <f aca="false">AB55</f>
        <v>0.95</v>
      </c>
      <c r="E55" s="69" t="n">
        <f aca="false">IF(E$5="A",IF(E23&gt;0,1,0),IF(Account_Register!$H$21&gt;0,1,0)*Account_Register!$M$21)</f>
        <v>1</v>
      </c>
      <c r="F55" s="80" t="n">
        <f aca="false">IF(F$5="A",IF(F23&gt;0,1,0),E55)</f>
        <v>1</v>
      </c>
      <c r="G55" s="80" t="n">
        <f aca="false">IF(G$5="A",IF(G23&gt;0,1,0),F55)</f>
        <v>1</v>
      </c>
      <c r="H55" s="80" t="n">
        <f aca="false">IF(H$5="A",IF(H23&gt;0,1,0),G55)</f>
        <v>1</v>
      </c>
      <c r="I55" s="80" t="n">
        <f aca="false">IF(I$5="A",IF(I23&gt;0,1,0),H55)</f>
        <v>1</v>
      </c>
      <c r="J55" s="80" t="n">
        <f aca="false">IF(J$5="A",IF(J23&gt;0,1,0),I55)</f>
        <v>1</v>
      </c>
      <c r="K55" s="80" t="n">
        <f aca="false">IF(K$5="A",IF(K23&gt;0,1,0),J55)</f>
        <v>1</v>
      </c>
      <c r="L55" s="80" t="n">
        <f aca="false">IF(L$5="A",IF(L23&gt;0,1,0),K55)</f>
        <v>1</v>
      </c>
      <c r="M55" s="80" t="n">
        <f aca="false">IF(M$5="A",IF(M23&gt;0,1,0),L55)</f>
        <v>1</v>
      </c>
      <c r="N55" s="80" t="n">
        <f aca="false">IF(N$5="A",IF(N23&gt;0,1,0),M55)</f>
        <v>1</v>
      </c>
      <c r="O55" s="80" t="n">
        <f aca="false">IF(O$5="A",IF(O23&gt;0,1,0),N55)</f>
        <v>1</v>
      </c>
      <c r="P55" s="80" t="n">
        <f aca="false">IF(P$5="A",IF(P23&gt;0,1,0),O55)</f>
        <v>1</v>
      </c>
      <c r="Q55" s="69" t="n">
        <f aca="false">IF(Q$5="A",IF(Q23&gt;0,1,0),P55*Account_Register!$M$21)</f>
        <v>0.95</v>
      </c>
      <c r="R55" s="80" t="n">
        <f aca="false">IF(R$5="A",IF(R23&gt;0,1,0),Q55)</f>
        <v>0.95</v>
      </c>
      <c r="S55" s="80" t="n">
        <f aca="false">IF(S$5="A",IF(S23&gt;0,1,0),R55)</f>
        <v>0.95</v>
      </c>
      <c r="T55" s="80" t="n">
        <f aca="false">IF(T$5="A",IF(T23&gt;0,1,0),S55)</f>
        <v>0.95</v>
      </c>
      <c r="U55" s="80" t="n">
        <f aca="false">IF(U$5="A",IF(U23&gt;0,1,0),T55)</f>
        <v>0.95</v>
      </c>
      <c r="V55" s="80" t="n">
        <f aca="false">IF(V$5="A",IF(V23&gt;0,1,0),U55)</f>
        <v>0.95</v>
      </c>
      <c r="W55" s="80" t="n">
        <f aca="false">IF(W$5="A",IF(W23&gt;0,1,0),V55)</f>
        <v>0.95</v>
      </c>
      <c r="X55" s="80" t="n">
        <f aca="false">IF(X$5="A",IF(X23&gt;0,1,0),W55)</f>
        <v>0.95</v>
      </c>
      <c r="Y55" s="80" t="n">
        <f aca="false">IF(Y$5="A",IF(Y23&gt;0,1,0),X55)</f>
        <v>0.95</v>
      </c>
      <c r="Z55" s="80" t="n">
        <f aca="false">IF(Z$5="A",IF(Z23&gt;0,1,0),Y55)</f>
        <v>0.95</v>
      </c>
      <c r="AA55" s="80" t="n">
        <f aca="false">IF(AA$5="A",IF(AA23&gt;0,1,0),Z55)</f>
        <v>0.95</v>
      </c>
      <c r="AB55" s="80" t="n">
        <f aca="false">IF(AB$5="A",IF(AB23&gt;0,1,0),AA55)</f>
        <v>0.95</v>
      </c>
    </row>
    <row r="56" customFormat="false" ht="15" hidden="false" customHeight="false" outlineLevel="0" collapsed="false">
      <c r="A56" s="28" t="s">
        <v>1016</v>
      </c>
      <c r="B56" s="63"/>
      <c r="C56" s="68" t="n">
        <f aca="false">P56</f>
        <v>1</v>
      </c>
      <c r="D56" s="68" t="n">
        <f aca="false">AB56</f>
        <v>0.93</v>
      </c>
      <c r="E56" s="69" t="n">
        <f aca="false">IF(E$5="A",IF(E24&gt;0,1,0),IF(Account_Register!$H$22&gt;0,1,0))</f>
        <v>1</v>
      </c>
      <c r="F56" s="80" t="n">
        <f aca="false">IF(F$5="A",IF(F24&gt;0,1,0),E56)</f>
        <v>1</v>
      </c>
      <c r="G56" s="69" t="n">
        <f aca="false">IF(G$5="A",IF(G24&gt;0,1,0),F56*Account_Register!$M$22)</f>
        <v>1</v>
      </c>
      <c r="H56" s="80" t="n">
        <f aca="false">IF(H$5="A",IF(H24&gt;0,1,0),G56)</f>
        <v>1</v>
      </c>
      <c r="I56" s="80" t="n">
        <f aca="false">IF(I$5="A",IF(I24&gt;0,1,0),H56)</f>
        <v>1</v>
      </c>
      <c r="J56" s="80" t="n">
        <f aca="false">IF(J$5="A",IF(J24&gt;0,1,0),I56)</f>
        <v>1</v>
      </c>
      <c r="K56" s="80" t="n">
        <f aca="false">IF(K$5="A",IF(K24&gt;0,1,0),J56)</f>
        <v>1</v>
      </c>
      <c r="L56" s="80" t="n">
        <f aca="false">IF(L$5="A",IF(L24&gt;0,1,0),K56)</f>
        <v>1</v>
      </c>
      <c r="M56" s="80" t="n">
        <f aca="false">IF(M$5="A",IF(M24&gt;0,1,0),L56)</f>
        <v>1</v>
      </c>
      <c r="N56" s="80" t="n">
        <f aca="false">IF(N$5="A",IF(N24&gt;0,1,0),M56)</f>
        <v>1</v>
      </c>
      <c r="O56" s="80" t="n">
        <f aca="false">IF(O$5="A",IF(O24&gt;0,1,0),N56)</f>
        <v>1</v>
      </c>
      <c r="P56" s="80" t="n">
        <f aca="false">IF(P$5="A",IF(P24&gt;0,1,0),O56)</f>
        <v>1</v>
      </c>
      <c r="Q56" s="80" t="n">
        <f aca="false">IF(Q$5="A",IF(Q24&gt;0,1,0),P56)</f>
        <v>1</v>
      </c>
      <c r="R56" s="80" t="n">
        <f aca="false">IF(R$5="A",IF(R24&gt;0,1,0),Q56)</f>
        <v>1</v>
      </c>
      <c r="S56" s="69" t="n">
        <f aca="false">IF(S$5="A",IF(S24&gt;0,1,0),R56*Account_Register!$M$22)</f>
        <v>0.93</v>
      </c>
      <c r="T56" s="80" t="n">
        <f aca="false">IF(T$5="A",IF(T24&gt;0,1,0),S56)</f>
        <v>0.93</v>
      </c>
      <c r="U56" s="80" t="n">
        <f aca="false">IF(U$5="A",IF(U24&gt;0,1,0),T56)</f>
        <v>0.93</v>
      </c>
      <c r="V56" s="80" t="n">
        <f aca="false">IF(V$5="A",IF(V24&gt;0,1,0),U56)</f>
        <v>0.93</v>
      </c>
      <c r="W56" s="80" t="n">
        <f aca="false">IF(W$5="A",IF(W24&gt;0,1,0),V56)</f>
        <v>0.93</v>
      </c>
      <c r="X56" s="80" t="n">
        <f aca="false">IF(X$5="A",IF(X24&gt;0,1,0),W56)</f>
        <v>0.93</v>
      </c>
      <c r="Y56" s="80" t="n">
        <f aca="false">IF(Y$5="A",IF(Y24&gt;0,1,0),X56)</f>
        <v>0.93</v>
      </c>
      <c r="Z56" s="80" t="n">
        <f aca="false">IF(Z$5="A",IF(Z24&gt;0,1,0),Y56)</f>
        <v>0.93</v>
      </c>
      <c r="AA56" s="80" t="n">
        <f aca="false">IF(AA$5="A",IF(AA24&gt;0,1,0),Z56)</f>
        <v>0.93</v>
      </c>
      <c r="AB56" s="80" t="n">
        <f aca="false">IF(AB$5="A",IF(AB24&gt;0,1,0),AA56)</f>
        <v>0.93</v>
      </c>
    </row>
    <row r="57" customFormat="false" ht="15" hidden="false" customHeight="false" outlineLevel="0" collapsed="false">
      <c r="A57" s="28" t="s">
        <v>1017</v>
      </c>
      <c r="B57" s="63"/>
      <c r="C57" s="68" t="n">
        <f aca="false">P57</f>
        <v>1</v>
      </c>
      <c r="D57" s="68" t="n">
        <f aca="false">AB57</f>
        <v>0.94</v>
      </c>
      <c r="E57" s="69" t="n">
        <f aca="false">IF(E$5="A",IF(E25&gt;0,1,0),IF(Account_Register!$H$23&gt;0,1,0))</f>
        <v>1</v>
      </c>
      <c r="F57" s="80" t="n">
        <f aca="false">IF(F$5="A",IF(F25&gt;0,1,0),E57)</f>
        <v>1</v>
      </c>
      <c r="G57" s="80" t="n">
        <f aca="false">IF(G$5="A",IF(G25&gt;0,1,0),F57)</f>
        <v>1</v>
      </c>
      <c r="H57" s="80" t="n">
        <f aca="false">IF(H$5="A",IF(H25&gt;0,1,0),G57)</f>
        <v>1</v>
      </c>
      <c r="I57" s="69" t="n">
        <f aca="false">IF(I$5="A",IF(I25&gt;0,1,0),H57*Account_Register!$M$23)</f>
        <v>1</v>
      </c>
      <c r="J57" s="80" t="n">
        <f aca="false">IF(J$5="A",IF(J25&gt;0,1,0),I57)</f>
        <v>1</v>
      </c>
      <c r="K57" s="80" t="n">
        <f aca="false">IF(K$5="A",IF(K25&gt;0,1,0),J57)</f>
        <v>1</v>
      </c>
      <c r="L57" s="80" t="n">
        <f aca="false">IF(L$5="A",IF(L25&gt;0,1,0),K57)</f>
        <v>1</v>
      </c>
      <c r="M57" s="80" t="n">
        <f aca="false">IF(M$5="A",IF(M25&gt;0,1,0),L57)</f>
        <v>1</v>
      </c>
      <c r="N57" s="80" t="n">
        <f aca="false">IF(N$5="A",IF(N25&gt;0,1,0),M57)</f>
        <v>1</v>
      </c>
      <c r="O57" s="80" t="n">
        <f aca="false">IF(O$5="A",IF(O25&gt;0,1,0),N57)</f>
        <v>1</v>
      </c>
      <c r="P57" s="80" t="n">
        <f aca="false">IF(P$5="A",IF(P25&gt;0,1,0),O57)</f>
        <v>1</v>
      </c>
      <c r="Q57" s="80" t="n">
        <f aca="false">IF(Q$5="A",IF(Q25&gt;0,1,0),P57)</f>
        <v>1</v>
      </c>
      <c r="R57" s="80" t="n">
        <f aca="false">IF(R$5="A",IF(R25&gt;0,1,0),Q57)</f>
        <v>1</v>
      </c>
      <c r="S57" s="80" t="n">
        <f aca="false">IF(S$5="A",IF(S25&gt;0,1,0),R57)</f>
        <v>1</v>
      </c>
      <c r="T57" s="80" t="n">
        <f aca="false">IF(T$5="A",IF(T25&gt;0,1,0),S57)</f>
        <v>1</v>
      </c>
      <c r="U57" s="69" t="n">
        <f aca="false">IF(U$5="A",IF(U25&gt;0,1,0),T57*Account_Register!$M$23)</f>
        <v>0.94</v>
      </c>
      <c r="V57" s="80" t="n">
        <f aca="false">IF(V$5="A",IF(V25&gt;0,1,0),U57)</f>
        <v>0.94</v>
      </c>
      <c r="W57" s="80" t="n">
        <f aca="false">IF(W$5="A",IF(W25&gt;0,1,0),V57)</f>
        <v>0.94</v>
      </c>
      <c r="X57" s="80" t="n">
        <f aca="false">IF(X$5="A",IF(X25&gt;0,1,0),W57)</f>
        <v>0.94</v>
      </c>
      <c r="Y57" s="80" t="n">
        <f aca="false">IF(Y$5="A",IF(Y25&gt;0,1,0),X57)</f>
        <v>0.94</v>
      </c>
      <c r="Z57" s="80" t="n">
        <f aca="false">IF(Z$5="A",IF(Z25&gt;0,1,0),Y57)</f>
        <v>0.94</v>
      </c>
      <c r="AA57" s="80" t="n">
        <f aca="false">IF(AA$5="A",IF(AA25&gt;0,1,0),Z57)</f>
        <v>0.94</v>
      </c>
      <c r="AB57" s="80" t="n">
        <f aca="false">IF(AB$5="A",IF(AB25&gt;0,1,0),AA57)</f>
        <v>0.94</v>
      </c>
    </row>
    <row r="58" customFormat="false" ht="15" hidden="false" customHeight="false" outlineLevel="0" collapsed="false">
      <c r="A58" s="28" t="s">
        <v>1018</v>
      </c>
      <c r="B58" s="63"/>
      <c r="C58" s="68" t="n">
        <f aca="false">P58</f>
        <v>1</v>
      </c>
      <c r="D58" s="68" t="n">
        <f aca="false">AB58</f>
        <v>0.94</v>
      </c>
      <c r="E58" s="69" t="n">
        <f aca="false">IF(E$5="A",IF(E26&gt;0,1,0),IF(Account_Register!$H$24&gt;0,1,0))</f>
        <v>1</v>
      </c>
      <c r="F58" s="80" t="n">
        <f aca="false">IF(F$5="A",IF(F26&gt;0,1,0),E58)</f>
        <v>1</v>
      </c>
      <c r="G58" s="80" t="n">
        <f aca="false">IF(G$5="A",IF(G26&gt;0,1,0),F58)</f>
        <v>1</v>
      </c>
      <c r="H58" s="80" t="n">
        <f aca="false">IF(H$5="A",IF(H26&gt;0,1,0),G58)</f>
        <v>1</v>
      </c>
      <c r="I58" s="80" t="n">
        <f aca="false">IF(I$5="A",IF(I26&gt;0,1,0),H58)</f>
        <v>1</v>
      </c>
      <c r="J58" s="80" t="n">
        <f aca="false">IF(J$5="A",IF(J26&gt;0,1,0),I58)</f>
        <v>1</v>
      </c>
      <c r="K58" s="69" t="n">
        <f aca="false">IF(K$5="A",IF(K26&gt;0,1,0),J58*Account_Register!$M$24)</f>
        <v>1</v>
      </c>
      <c r="L58" s="80" t="n">
        <f aca="false">IF(L$5="A",IF(L26&gt;0,1,0),K58)</f>
        <v>1</v>
      </c>
      <c r="M58" s="80" t="n">
        <f aca="false">IF(M$5="A",IF(M26&gt;0,1,0),L58)</f>
        <v>1</v>
      </c>
      <c r="N58" s="80" t="n">
        <f aca="false">IF(N$5="A",IF(N26&gt;0,1,0),M58)</f>
        <v>1</v>
      </c>
      <c r="O58" s="80" t="n">
        <f aca="false">IF(O$5="A",IF(O26&gt;0,1,0),N58)</f>
        <v>1</v>
      </c>
      <c r="P58" s="80" t="n">
        <f aca="false">IF(P$5="A",IF(P26&gt;0,1,0),O58)</f>
        <v>1</v>
      </c>
      <c r="Q58" s="80" t="n">
        <f aca="false">IF(Q$5="A",IF(Q26&gt;0,1,0),P58)</f>
        <v>1</v>
      </c>
      <c r="R58" s="80" t="n">
        <f aca="false">IF(R$5="A",IF(R26&gt;0,1,0),Q58)</f>
        <v>1</v>
      </c>
      <c r="S58" s="80" t="n">
        <f aca="false">IF(S$5="A",IF(S26&gt;0,1,0),R58)</f>
        <v>1</v>
      </c>
      <c r="T58" s="80" t="n">
        <f aca="false">IF(T$5="A",IF(T26&gt;0,1,0),S58)</f>
        <v>1</v>
      </c>
      <c r="U58" s="80" t="n">
        <f aca="false">IF(U$5="A",IF(U26&gt;0,1,0),T58)</f>
        <v>1</v>
      </c>
      <c r="V58" s="80" t="n">
        <f aca="false">IF(V$5="A",IF(V26&gt;0,1,0),U58)</f>
        <v>1</v>
      </c>
      <c r="W58" s="69" t="n">
        <f aca="false">IF(W$5="A",IF(W26&gt;0,1,0),V58*Account_Register!$M$24)</f>
        <v>0.94</v>
      </c>
      <c r="X58" s="80" t="n">
        <f aca="false">IF(X$5="A",IF(X26&gt;0,1,0),W58)</f>
        <v>0.94</v>
      </c>
      <c r="Y58" s="80" t="n">
        <f aca="false">IF(Y$5="A",IF(Y26&gt;0,1,0),X58)</f>
        <v>0.94</v>
      </c>
      <c r="Z58" s="80" t="n">
        <f aca="false">IF(Z$5="A",IF(Z26&gt;0,1,0),Y58)</f>
        <v>0.94</v>
      </c>
      <c r="AA58" s="80" t="n">
        <f aca="false">IF(AA$5="A",IF(AA26&gt;0,1,0),Z58)</f>
        <v>0.94</v>
      </c>
      <c r="AB58" s="80" t="n">
        <f aca="false">IF(AB$5="A",IF(AB26&gt;0,1,0),AA58)</f>
        <v>0.94</v>
      </c>
    </row>
    <row r="59" customFormat="false" ht="15" hidden="false" customHeight="false" outlineLevel="0" collapsed="false">
      <c r="A59" s="28" t="s">
        <v>1019</v>
      </c>
      <c r="B59" s="63"/>
      <c r="C59" s="68" t="n">
        <f aca="false">P59</f>
        <v>0.95</v>
      </c>
      <c r="D59" s="68" t="n">
        <f aca="false">AB59</f>
        <v>0.9025</v>
      </c>
      <c r="E59" s="69" t="n">
        <f aca="false">IF(E$5="A",IF(E27&gt;0,1,0),IF(Account_Register!$H$25&gt;0,1,0))</f>
        <v>1</v>
      </c>
      <c r="F59" s="80" t="n">
        <f aca="false">IF(F$5="A",IF(F27&gt;0,1,0),E59)</f>
        <v>1</v>
      </c>
      <c r="G59" s="80" t="n">
        <f aca="false">IF(G$5="A",IF(G27&gt;0,1,0),F59)</f>
        <v>1</v>
      </c>
      <c r="H59" s="80" t="n">
        <f aca="false">IF(H$5="A",IF(H27&gt;0,1,0),G59)</f>
        <v>1</v>
      </c>
      <c r="I59" s="80" t="n">
        <f aca="false">IF(I$5="A",IF(I27&gt;0,1,0),H59)</f>
        <v>1</v>
      </c>
      <c r="J59" s="80" t="n">
        <f aca="false">IF(J$5="A",IF(J27&gt;0,1,0),I59)</f>
        <v>1</v>
      </c>
      <c r="K59" s="80" t="n">
        <f aca="false">IF(K$5="A",IF(K27&gt;0,1,0),J59)</f>
        <v>1</v>
      </c>
      <c r="L59" s="80" t="n">
        <f aca="false">IF(L$5="A",IF(L27&gt;0,1,0),K59)</f>
        <v>1</v>
      </c>
      <c r="M59" s="69" t="n">
        <f aca="false">IF(M$5="A",IF(M27&gt;0,1,0),L59*Account_Register!$M$25)</f>
        <v>0.95</v>
      </c>
      <c r="N59" s="80" t="n">
        <f aca="false">IF(N$5="A",IF(N27&gt;0,1,0),M59)</f>
        <v>0.95</v>
      </c>
      <c r="O59" s="80" t="n">
        <f aca="false">IF(O$5="A",IF(O27&gt;0,1,0),N59)</f>
        <v>0.95</v>
      </c>
      <c r="P59" s="80" t="n">
        <f aca="false">IF(P$5="A",IF(P27&gt;0,1,0),O59)</f>
        <v>0.95</v>
      </c>
      <c r="Q59" s="80" t="n">
        <f aca="false">IF(Q$5="A",IF(Q27&gt;0,1,0),P59)</f>
        <v>0.95</v>
      </c>
      <c r="R59" s="80" t="n">
        <f aca="false">IF(R$5="A",IF(R27&gt;0,1,0),Q59)</f>
        <v>0.95</v>
      </c>
      <c r="S59" s="80" t="n">
        <f aca="false">IF(S$5="A",IF(S27&gt;0,1,0),R59)</f>
        <v>0.95</v>
      </c>
      <c r="T59" s="80" t="n">
        <f aca="false">IF(T$5="A",IF(T27&gt;0,1,0),S59)</f>
        <v>0.95</v>
      </c>
      <c r="U59" s="80" t="n">
        <f aca="false">IF(U$5="A",IF(U27&gt;0,1,0),T59)</f>
        <v>0.95</v>
      </c>
      <c r="V59" s="80" t="n">
        <f aca="false">IF(V$5="A",IF(V27&gt;0,1,0),U59)</f>
        <v>0.95</v>
      </c>
      <c r="W59" s="80" t="n">
        <f aca="false">IF(W$5="A",IF(W27&gt;0,1,0),V59)</f>
        <v>0.95</v>
      </c>
      <c r="X59" s="80" t="n">
        <f aca="false">IF(X$5="A",IF(X27&gt;0,1,0),W59)</f>
        <v>0.95</v>
      </c>
      <c r="Y59" s="69" t="n">
        <f aca="false">IF(Y$5="A",IF(Y27&gt;0,1,0),X59*Account_Register!$M$25)</f>
        <v>0.9025</v>
      </c>
      <c r="Z59" s="80" t="n">
        <f aca="false">IF(Z$5="A",IF(Z27&gt;0,1,0),Y59)</f>
        <v>0.9025</v>
      </c>
      <c r="AA59" s="80" t="n">
        <f aca="false">IF(AA$5="A",IF(AA27&gt;0,1,0),Z59)</f>
        <v>0.9025</v>
      </c>
      <c r="AB59" s="80" t="n">
        <f aca="false">IF(AB$5="A",IF(AB27&gt;0,1,0),AA59)</f>
        <v>0.9025</v>
      </c>
    </row>
    <row r="60" customFormat="false" ht="15" hidden="false" customHeight="false" outlineLevel="0" collapsed="false">
      <c r="A60" s="28" t="s">
        <v>1020</v>
      </c>
      <c r="B60" s="63"/>
      <c r="C60" s="68" t="n">
        <f aca="false">P60</f>
        <v>0.95</v>
      </c>
      <c r="D60" s="68" t="n">
        <f aca="false">AB60</f>
        <v>0.9025</v>
      </c>
      <c r="E60" s="69" t="n">
        <f aca="false">IF(E$5="A",IF(E28&gt;0,1,0),IF(Account_Register!$H$26&gt;0,1,0))</f>
        <v>1</v>
      </c>
      <c r="F60" s="80" t="n">
        <f aca="false">IF(F$5="A",IF(F28&gt;0,1,0),E60)</f>
        <v>1</v>
      </c>
      <c r="G60" s="80" t="n">
        <f aca="false">IF(G$5="A",IF(G28&gt;0,1,0),F60)</f>
        <v>1</v>
      </c>
      <c r="H60" s="80" t="n">
        <f aca="false">IF(H$5="A",IF(H28&gt;0,1,0),G60)</f>
        <v>1</v>
      </c>
      <c r="I60" s="80" t="n">
        <f aca="false">IF(I$5="A",IF(I28&gt;0,1,0),H60)</f>
        <v>1</v>
      </c>
      <c r="J60" s="80" t="n">
        <f aca="false">IF(J$5="A",IF(J28&gt;0,1,0),I60)</f>
        <v>1</v>
      </c>
      <c r="K60" s="80" t="n">
        <f aca="false">IF(K$5="A",IF(K28&gt;0,1,0),J60)</f>
        <v>1</v>
      </c>
      <c r="L60" s="80" t="n">
        <f aca="false">IF(L$5="A",IF(L28&gt;0,1,0),K60)</f>
        <v>1</v>
      </c>
      <c r="M60" s="80" t="n">
        <f aca="false">IF(M$5="A",IF(M28&gt;0,1,0),L60)</f>
        <v>1</v>
      </c>
      <c r="N60" s="80" t="n">
        <f aca="false">IF(N$5="A",IF(N28&gt;0,1,0),M60)</f>
        <v>1</v>
      </c>
      <c r="O60" s="69" t="n">
        <f aca="false">IF(O$5="A",IF(O28&gt;0,1,0),N60*Account_Register!$M$26)</f>
        <v>0.95</v>
      </c>
      <c r="P60" s="80" t="n">
        <f aca="false">IF(P$5="A",IF(P28&gt;0,1,0),O60)</f>
        <v>0.95</v>
      </c>
      <c r="Q60" s="80" t="n">
        <f aca="false">IF(Q$5="A",IF(Q28&gt;0,1,0),P60)</f>
        <v>0.95</v>
      </c>
      <c r="R60" s="80" t="n">
        <f aca="false">IF(R$5="A",IF(R28&gt;0,1,0),Q60)</f>
        <v>0.95</v>
      </c>
      <c r="S60" s="80" t="n">
        <f aca="false">IF(S$5="A",IF(S28&gt;0,1,0),R60)</f>
        <v>0.95</v>
      </c>
      <c r="T60" s="80" t="n">
        <f aca="false">IF(T$5="A",IF(T28&gt;0,1,0),S60)</f>
        <v>0.95</v>
      </c>
      <c r="U60" s="80" t="n">
        <f aca="false">IF(U$5="A",IF(U28&gt;0,1,0),T60)</f>
        <v>0.95</v>
      </c>
      <c r="V60" s="80" t="n">
        <f aca="false">IF(V$5="A",IF(V28&gt;0,1,0),U60)</f>
        <v>0.95</v>
      </c>
      <c r="W60" s="80" t="n">
        <f aca="false">IF(W$5="A",IF(W28&gt;0,1,0),V60)</f>
        <v>0.95</v>
      </c>
      <c r="X60" s="80" t="n">
        <f aca="false">IF(X$5="A",IF(X28&gt;0,1,0),W60)</f>
        <v>0.95</v>
      </c>
      <c r="Y60" s="80" t="n">
        <f aca="false">IF(Y$5="A",IF(Y28&gt;0,1,0),X60)</f>
        <v>0.95</v>
      </c>
      <c r="Z60" s="80" t="n">
        <f aca="false">IF(Z$5="A",IF(Z28&gt;0,1,0),Y60)</f>
        <v>0.95</v>
      </c>
      <c r="AA60" s="69" t="n">
        <f aca="false">IF(AA$5="A",IF(AA28&gt;0,1,0),Z60*Account_Register!$M$26)</f>
        <v>0.9025</v>
      </c>
      <c r="AB60" s="80" t="n">
        <f aca="false">IF(AB$5="A",IF(AB28&gt;0,1,0),AA60)</f>
        <v>0.9025</v>
      </c>
    </row>
    <row r="61" customFormat="false" ht="15" hidden="false" customHeight="false" outlineLevel="0" collapsed="false">
      <c r="A61" s="28" t="s">
        <v>1021</v>
      </c>
      <c r="B61" s="63"/>
      <c r="C61" s="68" t="n">
        <f aca="false">P61</f>
        <v>1</v>
      </c>
      <c r="D61" s="68" t="n">
        <f aca="false">AB61</f>
        <v>0.95</v>
      </c>
      <c r="E61" s="80" t="n">
        <f aca="false">0</f>
        <v>0</v>
      </c>
      <c r="F61" s="80" t="n">
        <f aca="false">0</f>
        <v>0</v>
      </c>
      <c r="G61" s="80" t="n">
        <f aca="false">0</f>
        <v>0</v>
      </c>
      <c r="H61" s="80" t="n">
        <f aca="false">IF(H$5="A",IF(H29&gt;0,1,0),1)</f>
        <v>1</v>
      </c>
      <c r="I61" s="80" t="n">
        <f aca="false">IF(I$5="A",IF(I29&gt;0,1,0),H61)</f>
        <v>1</v>
      </c>
      <c r="J61" s="80" t="n">
        <f aca="false">IF(J$5="A",IF(J29&gt;0,1,0),I61)</f>
        <v>1</v>
      </c>
      <c r="K61" s="80" t="n">
        <f aca="false">IF(K$5="A",IF(K29&gt;0,1,0),J61)</f>
        <v>1</v>
      </c>
      <c r="L61" s="80" t="n">
        <f aca="false">IF(L$5="A",IF(L29&gt;0,1,0),K61)</f>
        <v>1</v>
      </c>
      <c r="M61" s="80" t="n">
        <f aca="false">IF(M$5="A",IF(M29&gt;0,1,0),L61)</f>
        <v>1</v>
      </c>
      <c r="N61" s="80" t="n">
        <f aca="false">IF(N$5="A",IF(N29&gt;0,1,0),M61)</f>
        <v>1</v>
      </c>
      <c r="O61" s="80" t="n">
        <f aca="false">IF(O$5="A",IF(O29&gt;0,1,0),N61)</f>
        <v>1</v>
      </c>
      <c r="P61" s="80" t="n">
        <f aca="false">IF(P$5="A",IF(P29&gt;0,1,0),O61)</f>
        <v>1</v>
      </c>
      <c r="Q61" s="80" t="n">
        <f aca="false">IF(Q$5="A",IF(Q29&gt;0,1,0),P61)</f>
        <v>1</v>
      </c>
      <c r="R61" s="80" t="n">
        <f aca="false">IF(R$5="A",IF(R29&gt;0,1,0),Q61)</f>
        <v>1</v>
      </c>
      <c r="S61" s="80" t="n">
        <f aca="false">IF(S$5="A",IF(S29&gt;0,1,0),R61)</f>
        <v>1</v>
      </c>
      <c r="T61" s="69" t="n">
        <f aca="false">IF(T$5="A",IF(T29&gt;0,1,0),S61*Account_Register!$M$27)</f>
        <v>0.95</v>
      </c>
      <c r="U61" s="80" t="n">
        <f aca="false">IF(U$5="A",IF(U29&gt;0,1,0),T61)</f>
        <v>0.95</v>
      </c>
      <c r="V61" s="80" t="n">
        <f aca="false">IF(V$5="A",IF(V29&gt;0,1,0),U61)</f>
        <v>0.95</v>
      </c>
      <c r="W61" s="80" t="n">
        <f aca="false">IF(W$5="A",IF(W29&gt;0,1,0),V61)</f>
        <v>0.95</v>
      </c>
      <c r="X61" s="80" t="n">
        <f aca="false">IF(X$5="A",IF(X29&gt;0,1,0),W61)</f>
        <v>0.95</v>
      </c>
      <c r="Y61" s="80" t="n">
        <f aca="false">IF(Y$5="A",IF(Y29&gt;0,1,0),X61)</f>
        <v>0.95</v>
      </c>
      <c r="Z61" s="80" t="n">
        <f aca="false">IF(Z$5="A",IF(Z29&gt;0,1,0),Y61)</f>
        <v>0.95</v>
      </c>
      <c r="AA61" s="80" t="n">
        <f aca="false">IF(AA$5="A",IF(AA29&gt;0,1,0),Z61)</f>
        <v>0.95</v>
      </c>
      <c r="AB61" s="80" t="n">
        <f aca="false">IF(AB$5="A",IF(AB29&gt;0,1,0),AA61)</f>
        <v>0.95</v>
      </c>
    </row>
    <row r="62" customFormat="false" ht="15" hidden="false" customHeight="false" outlineLevel="0" collapsed="false">
      <c r="A62" s="28" t="s">
        <v>1022</v>
      </c>
      <c r="B62" s="63"/>
      <c r="C62" s="68" t="n">
        <f aca="false">P62</f>
        <v>1</v>
      </c>
      <c r="D62" s="68" t="n">
        <f aca="false">AB62</f>
        <v>0.95</v>
      </c>
      <c r="E62" s="80" t="n">
        <f aca="false">0</f>
        <v>0</v>
      </c>
      <c r="F62" s="80" t="n">
        <f aca="false">0</f>
        <v>0</v>
      </c>
      <c r="G62" s="80" t="n">
        <f aca="false">0</f>
        <v>0</v>
      </c>
      <c r="H62" s="80" t="n">
        <f aca="false">0</f>
        <v>0</v>
      </c>
      <c r="I62" s="80" t="n">
        <f aca="false">0</f>
        <v>0</v>
      </c>
      <c r="J62" s="80" t="n">
        <f aca="false">0</f>
        <v>0</v>
      </c>
      <c r="K62" s="80" t="n">
        <f aca="false">IF(K$5="A",IF(K30&gt;0,1,0),1)</f>
        <v>1</v>
      </c>
      <c r="L62" s="80" t="n">
        <f aca="false">IF(L$5="A",IF(L30&gt;0,1,0),K62)</f>
        <v>1</v>
      </c>
      <c r="M62" s="80" t="n">
        <f aca="false">IF(M$5="A",IF(M30&gt;0,1,0),L62)</f>
        <v>1</v>
      </c>
      <c r="N62" s="80" t="n">
        <f aca="false">IF(N$5="A",IF(N30&gt;0,1,0),M62)</f>
        <v>1</v>
      </c>
      <c r="O62" s="80" t="n">
        <f aca="false">IF(O$5="A",IF(O30&gt;0,1,0),N62)</f>
        <v>1</v>
      </c>
      <c r="P62" s="80" t="n">
        <f aca="false">IF(P$5="A",IF(P30&gt;0,1,0),O62)</f>
        <v>1</v>
      </c>
      <c r="Q62" s="80" t="n">
        <f aca="false">IF(Q$5="A",IF(Q30&gt;0,1,0),P62)</f>
        <v>1</v>
      </c>
      <c r="R62" s="80" t="n">
        <f aca="false">IF(R$5="A",IF(R30&gt;0,1,0),Q62)</f>
        <v>1</v>
      </c>
      <c r="S62" s="80" t="n">
        <f aca="false">IF(S$5="A",IF(S30&gt;0,1,0),R62)</f>
        <v>1</v>
      </c>
      <c r="T62" s="80" t="n">
        <f aca="false">IF(T$5="A",IF(T30&gt;0,1,0),S62)</f>
        <v>1</v>
      </c>
      <c r="U62" s="80" t="n">
        <f aca="false">IF(U$5="A",IF(U30&gt;0,1,0),T62)</f>
        <v>1</v>
      </c>
      <c r="V62" s="80" t="n">
        <f aca="false">IF(V$5="A",IF(V30&gt;0,1,0),U62)</f>
        <v>1</v>
      </c>
      <c r="W62" s="69" t="n">
        <f aca="false">IF(W$5="A",IF(W30&gt;0,1,0),V62*Account_Register!$M$28)</f>
        <v>0.95</v>
      </c>
      <c r="X62" s="80" t="n">
        <f aca="false">IF(X$5="A",IF(X30&gt;0,1,0),W62)</f>
        <v>0.95</v>
      </c>
      <c r="Y62" s="80" t="n">
        <f aca="false">IF(Y$5="A",IF(Y30&gt;0,1,0),X62)</f>
        <v>0.95</v>
      </c>
      <c r="Z62" s="80" t="n">
        <f aca="false">IF(Z$5="A",IF(Z30&gt;0,1,0),Y62)</f>
        <v>0.95</v>
      </c>
      <c r="AA62" s="80" t="n">
        <f aca="false">IF(AA$5="A",IF(AA30&gt;0,1,0),Z62)</f>
        <v>0.95</v>
      </c>
      <c r="AB62" s="80" t="n">
        <f aca="false">IF(AB$5="A",IF(AB30&gt;0,1,0),AA62)</f>
        <v>0.95</v>
      </c>
    </row>
    <row r="63" customFormat="false" ht="15" hidden="false" customHeight="false" outlineLevel="0" collapsed="false">
      <c r="A63" s="28" t="s">
        <v>1023</v>
      </c>
      <c r="B63" s="63"/>
      <c r="C63" s="68" t="n">
        <f aca="false">P63</f>
        <v>0.6</v>
      </c>
      <c r="D63" s="68" t="n">
        <f aca="false">AB63</f>
        <v>0.57</v>
      </c>
      <c r="E63" s="69" t="n">
        <f aca="false">IF(Assumptions!E$189&lt;Account_Register!$O$29,0,IF(Assumptions!E$189=Account_Register!$O$29,Account_Register!$M$29,IF(MOD(Assumptions!E$189-Account_Register!$O$29,12)=0,0*Assumptions!$C$137,0)))</f>
        <v>0</v>
      </c>
      <c r="F63" s="69" t="n">
        <f aca="false">IF(Assumptions!F$189&lt;Account_Register!$O$29,0,IF(Assumptions!F$189=Account_Register!$O$29,Account_Register!$M$29,IF(MOD(Assumptions!F$189-Account_Register!$O$29,12)=0,E63*Assumptions!$C$137,E63)))</f>
        <v>0</v>
      </c>
      <c r="G63" s="69" t="n">
        <f aca="false">IF(Assumptions!G$189&lt;Account_Register!$O$29,0,IF(Assumptions!G$189=Account_Register!$O$29,Account_Register!$M$29,IF(MOD(Assumptions!G$189-Account_Register!$O$29,12)=0,F63*Assumptions!$C$137,F63)))</f>
        <v>0</v>
      </c>
      <c r="H63" s="69" t="n">
        <f aca="false">IF(Assumptions!H$189&lt;Account_Register!$O$29,0,IF(Assumptions!H$189=Account_Register!$O$29,Account_Register!$M$29,IF(MOD(Assumptions!H$189-Account_Register!$O$29,12)=0,G63*Assumptions!$C$137,G63)))</f>
        <v>0</v>
      </c>
      <c r="I63" s="69" t="n">
        <f aca="false">IF(Assumptions!I$189&lt;Account_Register!$O$29,0,IF(Assumptions!I$189=Account_Register!$O$29,Account_Register!$M$29,IF(MOD(Assumptions!I$189-Account_Register!$O$29,12)=0,H63*Assumptions!$C$137,H63)))</f>
        <v>0</v>
      </c>
      <c r="J63" s="69" t="n">
        <f aca="false">IF(Assumptions!J$189&lt;Account_Register!$O$29,0,IF(Assumptions!J$189=Account_Register!$O$29,Account_Register!$M$29,IF(MOD(Assumptions!J$189-Account_Register!$O$29,12)=0,I63*Assumptions!$C$137,I63)))</f>
        <v>0</v>
      </c>
      <c r="K63" s="69" t="n">
        <f aca="false">IF(Assumptions!K$189&lt;Account_Register!$O$29,0,IF(Assumptions!K$189=Account_Register!$O$29,Account_Register!$M$29,IF(MOD(Assumptions!K$189-Account_Register!$O$29,12)=0,J63*Assumptions!$C$137,J63)))</f>
        <v>0</v>
      </c>
      <c r="L63" s="69" t="n">
        <f aca="false">IF(Assumptions!L$189&lt;Account_Register!$O$29,0,IF(Assumptions!L$189=Account_Register!$O$29,Account_Register!$M$29,IF(MOD(Assumptions!L$189-Account_Register!$O$29,12)=0,K63*Assumptions!$C$137,K63)))</f>
        <v>0</v>
      </c>
      <c r="M63" s="69" t="n">
        <f aca="false">IF(Assumptions!M$189&lt;Account_Register!$O$29,0,IF(Assumptions!M$189=Account_Register!$O$29,Account_Register!$M$29,IF(MOD(Assumptions!M$189-Account_Register!$O$29,12)=0,L63*Assumptions!$C$137,L63)))</f>
        <v>0</v>
      </c>
      <c r="N63" s="69" t="n">
        <f aca="false">IF(Assumptions!N$189&lt;Account_Register!$O$29,0,IF(Assumptions!N$189=Account_Register!$O$29,Account_Register!$M$29,IF(MOD(Assumptions!N$189-Account_Register!$O$29,12)=0,M63*Assumptions!$C$137,M63)))</f>
        <v>0</v>
      </c>
      <c r="O63" s="69" t="n">
        <f aca="false">IF(Assumptions!O$189&lt;Account_Register!$O$29,0,IF(Assumptions!O$189=Account_Register!$O$29,Account_Register!$M$29,IF(MOD(Assumptions!O$189-Account_Register!$O$29,12)=0,N63*Assumptions!$C$137,N63)))</f>
        <v>0.6</v>
      </c>
      <c r="P63" s="69" t="n">
        <f aca="false">IF(Assumptions!P$189&lt;Account_Register!$O$29,0,IF(Assumptions!P$189=Account_Register!$O$29,Account_Register!$M$29,IF(MOD(Assumptions!P$189-Account_Register!$O$29,12)=0,O63*Assumptions!$C$137,O63)))</f>
        <v>0.6</v>
      </c>
      <c r="Q63" s="69" t="n">
        <f aca="false">IF(Assumptions!Q$189&lt;Account_Register!$O$29,0,IF(Assumptions!Q$189=Account_Register!$O$29,Account_Register!$M$29,IF(MOD(Assumptions!Q$189-Account_Register!$O$29,12)=0,P63*Assumptions!$C$137,P63)))</f>
        <v>0.6</v>
      </c>
      <c r="R63" s="69" t="n">
        <f aca="false">IF(Assumptions!R$189&lt;Account_Register!$O$29,0,IF(Assumptions!R$189=Account_Register!$O$29,Account_Register!$M$29,IF(MOD(Assumptions!R$189-Account_Register!$O$29,12)=0,Q63*Assumptions!$C$137,Q63)))</f>
        <v>0.6</v>
      </c>
      <c r="S63" s="69" t="n">
        <f aca="false">IF(Assumptions!S$189&lt;Account_Register!$O$29,0,IF(Assumptions!S$189=Account_Register!$O$29,Account_Register!$M$29,IF(MOD(Assumptions!S$189-Account_Register!$O$29,12)=0,R63*Assumptions!$C$137,R63)))</f>
        <v>0.6</v>
      </c>
      <c r="T63" s="69" t="n">
        <f aca="false">IF(Assumptions!T$189&lt;Account_Register!$O$29,0,IF(Assumptions!T$189=Account_Register!$O$29,Account_Register!$M$29,IF(MOD(Assumptions!T$189-Account_Register!$O$29,12)=0,S63*Assumptions!$C$137,S63)))</f>
        <v>0.6</v>
      </c>
      <c r="U63" s="69" t="n">
        <f aca="false">IF(Assumptions!U$189&lt;Account_Register!$O$29,0,IF(Assumptions!U$189=Account_Register!$O$29,Account_Register!$M$29,IF(MOD(Assumptions!U$189-Account_Register!$O$29,12)=0,T63*Assumptions!$C$137,T63)))</f>
        <v>0.6</v>
      </c>
      <c r="V63" s="69" t="n">
        <f aca="false">IF(Assumptions!V$189&lt;Account_Register!$O$29,0,IF(Assumptions!V$189=Account_Register!$O$29,Account_Register!$M$29,IF(MOD(Assumptions!V$189-Account_Register!$O$29,12)=0,U63*Assumptions!$C$137,U63)))</f>
        <v>0.6</v>
      </c>
      <c r="W63" s="69" t="n">
        <f aca="false">IF(Assumptions!W$189&lt;Account_Register!$O$29,0,IF(Assumptions!W$189=Account_Register!$O$29,Account_Register!$M$29,IF(MOD(Assumptions!W$189-Account_Register!$O$29,12)=0,V63*Assumptions!$C$137,V63)))</f>
        <v>0.6</v>
      </c>
      <c r="X63" s="69" t="n">
        <f aca="false">IF(Assumptions!X$189&lt;Account_Register!$O$29,0,IF(Assumptions!X$189=Account_Register!$O$29,Account_Register!$M$29,IF(MOD(Assumptions!X$189-Account_Register!$O$29,12)=0,W63*Assumptions!$C$137,W63)))</f>
        <v>0.6</v>
      </c>
      <c r="Y63" s="69" t="n">
        <f aca="false">IF(Assumptions!Y$189&lt;Account_Register!$O$29,0,IF(Assumptions!Y$189=Account_Register!$O$29,Account_Register!$M$29,IF(MOD(Assumptions!Y$189-Account_Register!$O$29,12)=0,X63*Assumptions!$C$137,X63)))</f>
        <v>0.6</v>
      </c>
      <c r="Z63" s="69" t="n">
        <f aca="false">IF(Assumptions!Z$189&lt;Account_Register!$O$29,0,IF(Assumptions!Z$189=Account_Register!$O$29,Account_Register!$M$29,IF(MOD(Assumptions!Z$189-Account_Register!$O$29,12)=0,Y63*Assumptions!$C$137,Y63)))</f>
        <v>0.6</v>
      </c>
      <c r="AA63" s="69" t="n">
        <f aca="false">IF(Assumptions!AA$189&lt;Account_Register!$O$29,0,IF(Assumptions!AA$189=Account_Register!$O$29,Account_Register!$M$29,IF(MOD(Assumptions!AA$189-Account_Register!$O$29,12)=0,Z63*Assumptions!$C$137,Z63)))</f>
        <v>0.57</v>
      </c>
      <c r="AB63" s="69" t="n">
        <f aca="false">IF(Assumptions!AB$189&lt;Account_Register!$O$29,0,IF(Assumptions!AB$189=Account_Register!$O$29,Account_Register!$M$29,IF(MOD(Assumptions!AB$189-Account_Register!$O$29,12)=0,AA63*Assumptions!$C$137,AA63)))</f>
        <v>0.57</v>
      </c>
    </row>
    <row r="64" customFormat="false" ht="15" hidden="false" customHeight="false" outlineLevel="0" collapsed="false">
      <c r="A64" s="28" t="s">
        <v>1024</v>
      </c>
      <c r="B64" s="63"/>
      <c r="C64" s="68" t="n">
        <f aca="false">P64</f>
        <v>0.5</v>
      </c>
      <c r="D64" s="68" t="n">
        <f aca="false">AB64</f>
        <v>0.475</v>
      </c>
      <c r="E64" s="69" t="n">
        <f aca="false">IF(Assumptions!E$189&lt;Account_Register!$O$30,0,IF(Assumptions!E$189=Account_Register!$O$30,Account_Register!$M$30,IF(MOD(Assumptions!E$189-Account_Register!$O$30,12)=0,0*Assumptions!$C$137,0)))</f>
        <v>0</v>
      </c>
      <c r="F64" s="69" t="n">
        <f aca="false">IF(Assumptions!F$189&lt;Account_Register!$O$30,0,IF(Assumptions!F$189=Account_Register!$O$30,Account_Register!$M$30,IF(MOD(Assumptions!F$189-Account_Register!$O$30,12)=0,E64*Assumptions!$C$137,E64)))</f>
        <v>0</v>
      </c>
      <c r="G64" s="69" t="n">
        <f aca="false">IF(Assumptions!G$189&lt;Account_Register!$O$30,0,IF(Assumptions!G$189=Account_Register!$O$30,Account_Register!$M$30,IF(MOD(Assumptions!G$189-Account_Register!$O$30,12)=0,F64*Assumptions!$C$137,F64)))</f>
        <v>0</v>
      </c>
      <c r="H64" s="69" t="n">
        <f aca="false">IF(Assumptions!H$189&lt;Account_Register!$O$30,0,IF(Assumptions!H$189=Account_Register!$O$30,Account_Register!$M$30,IF(MOD(Assumptions!H$189-Account_Register!$O$30,12)=0,G64*Assumptions!$C$137,G64)))</f>
        <v>0</v>
      </c>
      <c r="I64" s="69" t="n">
        <f aca="false">IF(Assumptions!I$189&lt;Account_Register!$O$30,0,IF(Assumptions!I$189=Account_Register!$O$30,Account_Register!$M$30,IF(MOD(Assumptions!I$189-Account_Register!$O$30,12)=0,H64*Assumptions!$C$137,H64)))</f>
        <v>0</v>
      </c>
      <c r="J64" s="69" t="n">
        <f aca="false">IF(Assumptions!J$189&lt;Account_Register!$O$30,0,IF(Assumptions!J$189=Account_Register!$O$30,Account_Register!$M$30,IF(MOD(Assumptions!J$189-Account_Register!$O$30,12)=0,I64*Assumptions!$C$137,I64)))</f>
        <v>0</v>
      </c>
      <c r="K64" s="69" t="n">
        <f aca="false">IF(Assumptions!K$189&lt;Account_Register!$O$30,0,IF(Assumptions!K$189=Account_Register!$O$30,Account_Register!$M$30,IF(MOD(Assumptions!K$189-Account_Register!$O$30,12)=0,J64*Assumptions!$C$137,J64)))</f>
        <v>0</v>
      </c>
      <c r="L64" s="69" t="n">
        <f aca="false">IF(Assumptions!L$189&lt;Account_Register!$O$30,0,IF(Assumptions!L$189=Account_Register!$O$30,Account_Register!$M$30,IF(MOD(Assumptions!L$189-Account_Register!$O$30,12)=0,K64*Assumptions!$C$137,K64)))</f>
        <v>0</v>
      </c>
      <c r="M64" s="69" t="n">
        <f aca="false">IF(Assumptions!M$189&lt;Account_Register!$O$30,0,IF(Assumptions!M$189=Account_Register!$O$30,Account_Register!$M$30,IF(MOD(Assumptions!M$189-Account_Register!$O$30,12)=0,L64*Assumptions!$C$137,L64)))</f>
        <v>0</v>
      </c>
      <c r="N64" s="69" t="n">
        <f aca="false">IF(Assumptions!N$189&lt;Account_Register!$O$30,0,IF(Assumptions!N$189=Account_Register!$O$30,Account_Register!$M$30,IF(MOD(Assumptions!N$189-Account_Register!$O$30,12)=0,M64*Assumptions!$C$137,M64)))</f>
        <v>0</v>
      </c>
      <c r="O64" s="69" t="n">
        <f aca="false">IF(Assumptions!O$189&lt;Account_Register!$O$30,0,IF(Assumptions!O$189=Account_Register!$O$30,Account_Register!$M$30,IF(MOD(Assumptions!O$189-Account_Register!$O$30,12)=0,N64*Assumptions!$C$137,N64)))</f>
        <v>0</v>
      </c>
      <c r="P64" s="69" t="n">
        <f aca="false">IF(Assumptions!P$189&lt;Account_Register!$O$30,0,IF(Assumptions!P$189=Account_Register!$O$30,Account_Register!$M$30,IF(MOD(Assumptions!P$189-Account_Register!$O$30,12)=0,O64*Assumptions!$C$137,O64)))</f>
        <v>0.5</v>
      </c>
      <c r="Q64" s="69" t="n">
        <f aca="false">IF(Assumptions!Q$189&lt;Account_Register!$O$30,0,IF(Assumptions!Q$189=Account_Register!$O$30,Account_Register!$M$30,IF(MOD(Assumptions!Q$189-Account_Register!$O$30,12)=0,P64*Assumptions!$C$137,P64)))</f>
        <v>0.5</v>
      </c>
      <c r="R64" s="69" t="n">
        <f aca="false">IF(Assumptions!R$189&lt;Account_Register!$O$30,0,IF(Assumptions!R$189=Account_Register!$O$30,Account_Register!$M$30,IF(MOD(Assumptions!R$189-Account_Register!$O$30,12)=0,Q64*Assumptions!$C$137,Q64)))</f>
        <v>0.5</v>
      </c>
      <c r="S64" s="69" t="n">
        <f aca="false">IF(Assumptions!S$189&lt;Account_Register!$O$30,0,IF(Assumptions!S$189=Account_Register!$O$30,Account_Register!$M$30,IF(MOD(Assumptions!S$189-Account_Register!$O$30,12)=0,R64*Assumptions!$C$137,R64)))</f>
        <v>0.5</v>
      </c>
      <c r="T64" s="69" t="n">
        <f aca="false">IF(Assumptions!T$189&lt;Account_Register!$O$30,0,IF(Assumptions!T$189=Account_Register!$O$30,Account_Register!$M$30,IF(MOD(Assumptions!T$189-Account_Register!$O$30,12)=0,S64*Assumptions!$C$137,S64)))</f>
        <v>0.5</v>
      </c>
      <c r="U64" s="69" t="n">
        <f aca="false">IF(Assumptions!U$189&lt;Account_Register!$O$30,0,IF(Assumptions!U$189=Account_Register!$O$30,Account_Register!$M$30,IF(MOD(Assumptions!U$189-Account_Register!$O$30,12)=0,T64*Assumptions!$C$137,T64)))</f>
        <v>0.5</v>
      </c>
      <c r="V64" s="69" t="n">
        <f aca="false">IF(Assumptions!V$189&lt;Account_Register!$O$30,0,IF(Assumptions!V$189=Account_Register!$O$30,Account_Register!$M$30,IF(MOD(Assumptions!V$189-Account_Register!$O$30,12)=0,U64*Assumptions!$C$137,U64)))</f>
        <v>0.5</v>
      </c>
      <c r="W64" s="69" t="n">
        <f aca="false">IF(Assumptions!W$189&lt;Account_Register!$O$30,0,IF(Assumptions!W$189=Account_Register!$O$30,Account_Register!$M$30,IF(MOD(Assumptions!W$189-Account_Register!$O$30,12)=0,V64*Assumptions!$C$137,V64)))</f>
        <v>0.5</v>
      </c>
      <c r="X64" s="69" t="n">
        <f aca="false">IF(Assumptions!X$189&lt;Account_Register!$O$30,0,IF(Assumptions!X$189=Account_Register!$O$30,Account_Register!$M$30,IF(MOD(Assumptions!X$189-Account_Register!$O$30,12)=0,W64*Assumptions!$C$137,W64)))</f>
        <v>0.5</v>
      </c>
      <c r="Y64" s="69" t="n">
        <f aca="false">IF(Assumptions!Y$189&lt;Account_Register!$O$30,0,IF(Assumptions!Y$189=Account_Register!$O$30,Account_Register!$M$30,IF(MOD(Assumptions!Y$189-Account_Register!$O$30,12)=0,X64*Assumptions!$C$137,X64)))</f>
        <v>0.5</v>
      </c>
      <c r="Z64" s="69" t="n">
        <f aca="false">IF(Assumptions!Z$189&lt;Account_Register!$O$30,0,IF(Assumptions!Z$189=Account_Register!$O$30,Account_Register!$M$30,IF(MOD(Assumptions!Z$189-Account_Register!$O$30,12)=0,Y64*Assumptions!$C$137,Y64)))</f>
        <v>0.5</v>
      </c>
      <c r="AA64" s="69" t="n">
        <f aca="false">IF(Assumptions!AA$189&lt;Account_Register!$O$30,0,IF(Assumptions!AA$189=Account_Register!$O$30,Account_Register!$M$30,IF(MOD(Assumptions!AA$189-Account_Register!$O$30,12)=0,Z64*Assumptions!$C$137,Z64)))</f>
        <v>0.5</v>
      </c>
      <c r="AB64" s="69" t="n">
        <f aca="false">IF(Assumptions!AB$189&lt;Account_Register!$O$30,0,IF(Assumptions!AB$189=Account_Register!$O$30,Account_Register!$M$30,IF(MOD(Assumptions!AB$189-Account_Register!$O$30,12)=0,AA64*Assumptions!$C$137,AA64)))</f>
        <v>0.475</v>
      </c>
    </row>
    <row r="65" customFormat="false" ht="15" hidden="false" customHeight="false" outlineLevel="0" collapsed="false">
      <c r="A65" s="28" t="s">
        <v>1025</v>
      </c>
      <c r="B65" s="63"/>
      <c r="C65" s="68" t="n">
        <f aca="false">P65</f>
        <v>0</v>
      </c>
      <c r="D65" s="68" t="n">
        <f aca="false">AB65</f>
        <v>0.45</v>
      </c>
      <c r="E65" s="69" t="n">
        <f aca="false">IF(Assumptions!E$189&lt;Account_Register!$O$31,0,IF(Assumptions!E$189=Account_Register!$O$31,Account_Register!$M$31,IF(MOD(Assumptions!E$189-Account_Register!$O$31,12)=0,0*Assumptions!$C$137,0)))</f>
        <v>0</v>
      </c>
      <c r="F65" s="69" t="n">
        <f aca="false">IF(Assumptions!F$189&lt;Account_Register!$O$31,0,IF(Assumptions!F$189=Account_Register!$O$31,Account_Register!$M$31,IF(MOD(Assumptions!F$189-Account_Register!$O$31,12)=0,E65*Assumptions!$C$137,E65)))</f>
        <v>0</v>
      </c>
      <c r="G65" s="69" t="n">
        <f aca="false">IF(Assumptions!G$189&lt;Account_Register!$O$31,0,IF(Assumptions!G$189=Account_Register!$O$31,Account_Register!$M$31,IF(MOD(Assumptions!G$189-Account_Register!$O$31,12)=0,F65*Assumptions!$C$137,F65)))</f>
        <v>0</v>
      </c>
      <c r="H65" s="69" t="n">
        <f aca="false">IF(Assumptions!H$189&lt;Account_Register!$O$31,0,IF(Assumptions!H$189=Account_Register!$O$31,Account_Register!$M$31,IF(MOD(Assumptions!H$189-Account_Register!$O$31,12)=0,G65*Assumptions!$C$137,G65)))</f>
        <v>0</v>
      </c>
      <c r="I65" s="69" t="n">
        <f aca="false">IF(Assumptions!I$189&lt;Account_Register!$O$31,0,IF(Assumptions!I$189=Account_Register!$O$31,Account_Register!$M$31,IF(MOD(Assumptions!I$189-Account_Register!$O$31,12)=0,H65*Assumptions!$C$137,H65)))</f>
        <v>0</v>
      </c>
      <c r="J65" s="69" t="n">
        <f aca="false">IF(Assumptions!J$189&lt;Account_Register!$O$31,0,IF(Assumptions!J$189=Account_Register!$O$31,Account_Register!$M$31,IF(MOD(Assumptions!J$189-Account_Register!$O$31,12)=0,I65*Assumptions!$C$137,I65)))</f>
        <v>0</v>
      </c>
      <c r="K65" s="69" t="n">
        <f aca="false">IF(Assumptions!K$189&lt;Account_Register!$O$31,0,IF(Assumptions!K$189=Account_Register!$O$31,Account_Register!$M$31,IF(MOD(Assumptions!K$189-Account_Register!$O$31,12)=0,J65*Assumptions!$C$137,J65)))</f>
        <v>0</v>
      </c>
      <c r="L65" s="69" t="n">
        <f aca="false">IF(Assumptions!L$189&lt;Account_Register!$O$31,0,IF(Assumptions!L$189=Account_Register!$O$31,Account_Register!$M$31,IF(MOD(Assumptions!L$189-Account_Register!$O$31,12)=0,K65*Assumptions!$C$137,K65)))</f>
        <v>0</v>
      </c>
      <c r="M65" s="69" t="n">
        <f aca="false">IF(Assumptions!M$189&lt;Account_Register!$O$31,0,IF(Assumptions!M$189=Account_Register!$O$31,Account_Register!$M$31,IF(MOD(Assumptions!M$189-Account_Register!$O$31,12)=0,L65*Assumptions!$C$137,L65)))</f>
        <v>0</v>
      </c>
      <c r="N65" s="69" t="n">
        <f aca="false">IF(Assumptions!N$189&lt;Account_Register!$O$31,0,IF(Assumptions!N$189=Account_Register!$O$31,Account_Register!$M$31,IF(MOD(Assumptions!N$189-Account_Register!$O$31,12)=0,M65*Assumptions!$C$137,M65)))</f>
        <v>0</v>
      </c>
      <c r="O65" s="69" t="n">
        <f aca="false">IF(Assumptions!O$189&lt;Account_Register!$O$31,0,IF(Assumptions!O$189=Account_Register!$O$31,Account_Register!$M$31,IF(MOD(Assumptions!O$189-Account_Register!$O$31,12)=0,N65*Assumptions!$C$137,N65)))</f>
        <v>0</v>
      </c>
      <c r="P65" s="69" t="n">
        <f aca="false">IF(Assumptions!P$189&lt;Account_Register!$O$31,0,IF(Assumptions!P$189=Account_Register!$O$31,Account_Register!$M$31,IF(MOD(Assumptions!P$189-Account_Register!$O$31,12)=0,O65*Assumptions!$C$137,O65)))</f>
        <v>0</v>
      </c>
      <c r="Q65" s="69" t="n">
        <f aca="false">IF(Assumptions!Q$189&lt;Account_Register!$O$31,0,IF(Assumptions!Q$189=Account_Register!$O$31,Account_Register!$M$31,IF(MOD(Assumptions!Q$189-Account_Register!$O$31,12)=0,P65*Assumptions!$C$137,P65)))</f>
        <v>0.45</v>
      </c>
      <c r="R65" s="69" t="n">
        <f aca="false">IF(Assumptions!R$189&lt;Account_Register!$O$31,0,IF(Assumptions!R$189=Account_Register!$O$31,Account_Register!$M$31,IF(MOD(Assumptions!R$189-Account_Register!$O$31,12)=0,Q65*Assumptions!$C$137,Q65)))</f>
        <v>0.45</v>
      </c>
      <c r="S65" s="69" t="n">
        <f aca="false">IF(Assumptions!S$189&lt;Account_Register!$O$31,0,IF(Assumptions!S$189=Account_Register!$O$31,Account_Register!$M$31,IF(MOD(Assumptions!S$189-Account_Register!$O$31,12)=0,R65*Assumptions!$C$137,R65)))</f>
        <v>0.45</v>
      </c>
      <c r="T65" s="69" t="n">
        <f aca="false">IF(Assumptions!T$189&lt;Account_Register!$O$31,0,IF(Assumptions!T$189=Account_Register!$O$31,Account_Register!$M$31,IF(MOD(Assumptions!T$189-Account_Register!$O$31,12)=0,S65*Assumptions!$C$137,S65)))</f>
        <v>0.45</v>
      </c>
      <c r="U65" s="69" t="n">
        <f aca="false">IF(Assumptions!U$189&lt;Account_Register!$O$31,0,IF(Assumptions!U$189=Account_Register!$O$31,Account_Register!$M$31,IF(MOD(Assumptions!U$189-Account_Register!$O$31,12)=0,T65*Assumptions!$C$137,T65)))</f>
        <v>0.45</v>
      </c>
      <c r="V65" s="69" t="n">
        <f aca="false">IF(Assumptions!V$189&lt;Account_Register!$O$31,0,IF(Assumptions!V$189=Account_Register!$O$31,Account_Register!$M$31,IF(MOD(Assumptions!V$189-Account_Register!$O$31,12)=0,U65*Assumptions!$C$137,U65)))</f>
        <v>0.45</v>
      </c>
      <c r="W65" s="69" t="n">
        <f aca="false">IF(Assumptions!W$189&lt;Account_Register!$O$31,0,IF(Assumptions!W$189=Account_Register!$O$31,Account_Register!$M$31,IF(MOD(Assumptions!W$189-Account_Register!$O$31,12)=0,V65*Assumptions!$C$137,V65)))</f>
        <v>0.45</v>
      </c>
      <c r="X65" s="69" t="n">
        <f aca="false">IF(Assumptions!X$189&lt;Account_Register!$O$31,0,IF(Assumptions!X$189=Account_Register!$O$31,Account_Register!$M$31,IF(MOD(Assumptions!X$189-Account_Register!$O$31,12)=0,W65*Assumptions!$C$137,W65)))</f>
        <v>0.45</v>
      </c>
      <c r="Y65" s="69" t="n">
        <f aca="false">IF(Assumptions!Y$189&lt;Account_Register!$O$31,0,IF(Assumptions!Y$189=Account_Register!$O$31,Account_Register!$M$31,IF(MOD(Assumptions!Y$189-Account_Register!$O$31,12)=0,X65*Assumptions!$C$137,X65)))</f>
        <v>0.45</v>
      </c>
      <c r="Z65" s="69" t="n">
        <f aca="false">IF(Assumptions!Z$189&lt;Account_Register!$O$31,0,IF(Assumptions!Z$189=Account_Register!$O$31,Account_Register!$M$31,IF(MOD(Assumptions!Z$189-Account_Register!$O$31,12)=0,Y65*Assumptions!$C$137,Y65)))</f>
        <v>0.45</v>
      </c>
      <c r="AA65" s="69" t="n">
        <f aca="false">IF(Assumptions!AA$189&lt;Account_Register!$O$31,0,IF(Assumptions!AA$189=Account_Register!$O$31,Account_Register!$M$31,IF(MOD(Assumptions!AA$189-Account_Register!$O$31,12)=0,Z65*Assumptions!$C$137,Z65)))</f>
        <v>0.45</v>
      </c>
      <c r="AB65" s="69" t="n">
        <f aca="false">IF(Assumptions!AB$189&lt;Account_Register!$O$31,0,IF(Assumptions!AB$189=Account_Register!$O$31,Account_Register!$M$31,IF(MOD(Assumptions!AB$189-Account_Register!$O$31,12)=0,AA65*Assumptions!$C$137,AA65)))</f>
        <v>0.45</v>
      </c>
    </row>
    <row r="66" customFormat="false" ht="15" hidden="false" customHeight="false" outlineLevel="0" collapsed="false">
      <c r="A66" s="28" t="s">
        <v>1026</v>
      </c>
      <c r="B66" s="63"/>
      <c r="C66" s="68" t="n">
        <f aca="false">P66</f>
        <v>0</v>
      </c>
      <c r="D66" s="68" t="n">
        <f aca="false">AB66</f>
        <v>0.5</v>
      </c>
      <c r="E66" s="69" t="n">
        <f aca="false">IF(Assumptions!E$189&lt;Account_Register!$O$32,0,IF(Assumptions!E$189=Account_Register!$O$32,Account_Register!$M$32,IF(MOD(Assumptions!E$189-Account_Register!$O$32,12)=0,0*Assumptions!$C$137,0)))</f>
        <v>0</v>
      </c>
      <c r="F66" s="69" t="n">
        <f aca="false">IF(Assumptions!F$189&lt;Account_Register!$O$32,0,IF(Assumptions!F$189=Account_Register!$O$32,Account_Register!$M$32,IF(MOD(Assumptions!F$189-Account_Register!$O$32,12)=0,E66*Assumptions!$C$137,E66)))</f>
        <v>0</v>
      </c>
      <c r="G66" s="69" t="n">
        <f aca="false">IF(Assumptions!G$189&lt;Account_Register!$O$32,0,IF(Assumptions!G$189=Account_Register!$O$32,Account_Register!$M$32,IF(MOD(Assumptions!G$189-Account_Register!$O$32,12)=0,F66*Assumptions!$C$137,F66)))</f>
        <v>0</v>
      </c>
      <c r="H66" s="69" t="n">
        <f aca="false">IF(Assumptions!H$189&lt;Account_Register!$O$32,0,IF(Assumptions!H$189=Account_Register!$O$32,Account_Register!$M$32,IF(MOD(Assumptions!H$189-Account_Register!$O$32,12)=0,G66*Assumptions!$C$137,G66)))</f>
        <v>0</v>
      </c>
      <c r="I66" s="69" t="n">
        <f aca="false">IF(Assumptions!I$189&lt;Account_Register!$O$32,0,IF(Assumptions!I$189=Account_Register!$O$32,Account_Register!$M$32,IF(MOD(Assumptions!I$189-Account_Register!$O$32,12)=0,H66*Assumptions!$C$137,H66)))</f>
        <v>0</v>
      </c>
      <c r="J66" s="69" t="n">
        <f aca="false">IF(Assumptions!J$189&lt;Account_Register!$O$32,0,IF(Assumptions!J$189=Account_Register!$O$32,Account_Register!$M$32,IF(MOD(Assumptions!J$189-Account_Register!$O$32,12)=0,I66*Assumptions!$C$137,I66)))</f>
        <v>0</v>
      </c>
      <c r="K66" s="69" t="n">
        <f aca="false">IF(Assumptions!K$189&lt;Account_Register!$O$32,0,IF(Assumptions!K$189=Account_Register!$O$32,Account_Register!$M$32,IF(MOD(Assumptions!K$189-Account_Register!$O$32,12)=0,J66*Assumptions!$C$137,J66)))</f>
        <v>0</v>
      </c>
      <c r="L66" s="69" t="n">
        <f aca="false">IF(Assumptions!L$189&lt;Account_Register!$O$32,0,IF(Assumptions!L$189=Account_Register!$O$32,Account_Register!$M$32,IF(MOD(Assumptions!L$189-Account_Register!$O$32,12)=0,K66*Assumptions!$C$137,K66)))</f>
        <v>0</v>
      </c>
      <c r="M66" s="69" t="n">
        <f aca="false">IF(Assumptions!M$189&lt;Account_Register!$O$32,0,IF(Assumptions!M$189=Account_Register!$O$32,Account_Register!$M$32,IF(MOD(Assumptions!M$189-Account_Register!$O$32,12)=0,L66*Assumptions!$C$137,L66)))</f>
        <v>0</v>
      </c>
      <c r="N66" s="69" t="n">
        <f aca="false">IF(Assumptions!N$189&lt;Account_Register!$O$32,0,IF(Assumptions!N$189=Account_Register!$O$32,Account_Register!$M$32,IF(MOD(Assumptions!N$189-Account_Register!$O$32,12)=0,M66*Assumptions!$C$137,M66)))</f>
        <v>0</v>
      </c>
      <c r="O66" s="69" t="n">
        <f aca="false">IF(Assumptions!O$189&lt;Account_Register!$O$32,0,IF(Assumptions!O$189=Account_Register!$O$32,Account_Register!$M$32,IF(MOD(Assumptions!O$189-Account_Register!$O$32,12)=0,N66*Assumptions!$C$137,N66)))</f>
        <v>0</v>
      </c>
      <c r="P66" s="69" t="n">
        <f aca="false">IF(Assumptions!P$189&lt;Account_Register!$O$32,0,IF(Assumptions!P$189=Account_Register!$O$32,Account_Register!$M$32,IF(MOD(Assumptions!P$189-Account_Register!$O$32,12)=0,O66*Assumptions!$C$137,O66)))</f>
        <v>0</v>
      </c>
      <c r="Q66" s="69" t="n">
        <f aca="false">IF(Assumptions!Q$189&lt;Account_Register!$O$32,0,IF(Assumptions!Q$189=Account_Register!$O$32,Account_Register!$M$32,IF(MOD(Assumptions!Q$189-Account_Register!$O$32,12)=0,P66*Assumptions!$C$137,P66)))</f>
        <v>0</v>
      </c>
      <c r="R66" s="69" t="n">
        <f aca="false">IF(Assumptions!R$189&lt;Account_Register!$O$32,0,IF(Assumptions!R$189=Account_Register!$O$32,Account_Register!$M$32,IF(MOD(Assumptions!R$189-Account_Register!$O$32,12)=0,Q66*Assumptions!$C$137,Q66)))</f>
        <v>0.5</v>
      </c>
      <c r="S66" s="69" t="n">
        <f aca="false">IF(Assumptions!S$189&lt;Account_Register!$O$32,0,IF(Assumptions!S$189=Account_Register!$O$32,Account_Register!$M$32,IF(MOD(Assumptions!S$189-Account_Register!$O$32,12)=0,R66*Assumptions!$C$137,R66)))</f>
        <v>0.5</v>
      </c>
      <c r="T66" s="69" t="n">
        <f aca="false">IF(Assumptions!T$189&lt;Account_Register!$O$32,0,IF(Assumptions!T$189=Account_Register!$O$32,Account_Register!$M$32,IF(MOD(Assumptions!T$189-Account_Register!$O$32,12)=0,S66*Assumptions!$C$137,S66)))</f>
        <v>0.5</v>
      </c>
      <c r="U66" s="69" t="n">
        <f aca="false">IF(Assumptions!U$189&lt;Account_Register!$O$32,0,IF(Assumptions!U$189=Account_Register!$O$32,Account_Register!$M$32,IF(MOD(Assumptions!U$189-Account_Register!$O$32,12)=0,T66*Assumptions!$C$137,T66)))</f>
        <v>0.5</v>
      </c>
      <c r="V66" s="69" t="n">
        <f aca="false">IF(Assumptions!V$189&lt;Account_Register!$O$32,0,IF(Assumptions!V$189=Account_Register!$O$32,Account_Register!$M$32,IF(MOD(Assumptions!V$189-Account_Register!$O$32,12)=0,U66*Assumptions!$C$137,U66)))</f>
        <v>0.5</v>
      </c>
      <c r="W66" s="69" t="n">
        <f aca="false">IF(Assumptions!W$189&lt;Account_Register!$O$32,0,IF(Assumptions!W$189=Account_Register!$O$32,Account_Register!$M$32,IF(MOD(Assumptions!W$189-Account_Register!$O$32,12)=0,V66*Assumptions!$C$137,V66)))</f>
        <v>0.5</v>
      </c>
      <c r="X66" s="69" t="n">
        <f aca="false">IF(Assumptions!X$189&lt;Account_Register!$O$32,0,IF(Assumptions!X$189=Account_Register!$O$32,Account_Register!$M$32,IF(MOD(Assumptions!X$189-Account_Register!$O$32,12)=0,W66*Assumptions!$C$137,W66)))</f>
        <v>0.5</v>
      </c>
      <c r="Y66" s="69" t="n">
        <f aca="false">IF(Assumptions!Y$189&lt;Account_Register!$O$32,0,IF(Assumptions!Y$189=Account_Register!$O$32,Account_Register!$M$32,IF(MOD(Assumptions!Y$189-Account_Register!$O$32,12)=0,X66*Assumptions!$C$137,X66)))</f>
        <v>0.5</v>
      </c>
      <c r="Z66" s="69" t="n">
        <f aca="false">IF(Assumptions!Z$189&lt;Account_Register!$O$32,0,IF(Assumptions!Z$189=Account_Register!$O$32,Account_Register!$M$32,IF(MOD(Assumptions!Z$189-Account_Register!$O$32,12)=0,Y66*Assumptions!$C$137,Y66)))</f>
        <v>0.5</v>
      </c>
      <c r="AA66" s="69" t="n">
        <f aca="false">IF(Assumptions!AA$189&lt;Account_Register!$O$32,0,IF(Assumptions!AA$189=Account_Register!$O$32,Account_Register!$M$32,IF(MOD(Assumptions!AA$189-Account_Register!$O$32,12)=0,Z66*Assumptions!$C$137,Z66)))</f>
        <v>0.5</v>
      </c>
      <c r="AB66" s="69" t="n">
        <f aca="false">IF(Assumptions!AB$189&lt;Account_Register!$O$32,0,IF(Assumptions!AB$189=Account_Register!$O$32,Account_Register!$M$32,IF(MOD(Assumptions!AB$189-Account_Register!$O$32,12)=0,AA66*Assumptions!$C$137,AA66)))</f>
        <v>0.5</v>
      </c>
    </row>
    <row r="67" customFormat="false" ht="15" hidden="false" customHeight="false" outlineLevel="0" collapsed="false">
      <c r="A67" s="28" t="s">
        <v>1027</v>
      </c>
      <c r="B67" s="63"/>
      <c r="C67" s="68" t="n">
        <f aca="false">P67</f>
        <v>0</v>
      </c>
      <c r="D67" s="68" t="n">
        <f aca="false">AB67</f>
        <v>0.4</v>
      </c>
      <c r="E67" s="69" t="n">
        <f aca="false">IF(Assumptions!E$189&lt;Account_Register!$O$33,0,IF(Assumptions!E$189=Account_Register!$O$33,Account_Register!$M$33,IF(MOD(Assumptions!E$189-Account_Register!$O$33,12)=0,0*Assumptions!$C$137,0)))</f>
        <v>0</v>
      </c>
      <c r="F67" s="69" t="n">
        <f aca="false">IF(Assumptions!F$189&lt;Account_Register!$O$33,0,IF(Assumptions!F$189=Account_Register!$O$33,Account_Register!$M$33,IF(MOD(Assumptions!F$189-Account_Register!$O$33,12)=0,E67*Assumptions!$C$137,E67)))</f>
        <v>0</v>
      </c>
      <c r="G67" s="69" t="n">
        <f aca="false">IF(Assumptions!G$189&lt;Account_Register!$O$33,0,IF(Assumptions!G$189=Account_Register!$O$33,Account_Register!$M$33,IF(MOD(Assumptions!G$189-Account_Register!$O$33,12)=0,F67*Assumptions!$C$137,F67)))</f>
        <v>0</v>
      </c>
      <c r="H67" s="69" t="n">
        <f aca="false">IF(Assumptions!H$189&lt;Account_Register!$O$33,0,IF(Assumptions!H$189=Account_Register!$O$33,Account_Register!$M$33,IF(MOD(Assumptions!H$189-Account_Register!$O$33,12)=0,G67*Assumptions!$C$137,G67)))</f>
        <v>0</v>
      </c>
      <c r="I67" s="69" t="n">
        <f aca="false">IF(Assumptions!I$189&lt;Account_Register!$O$33,0,IF(Assumptions!I$189=Account_Register!$O$33,Account_Register!$M$33,IF(MOD(Assumptions!I$189-Account_Register!$O$33,12)=0,H67*Assumptions!$C$137,H67)))</f>
        <v>0</v>
      </c>
      <c r="J67" s="69" t="n">
        <f aca="false">IF(Assumptions!J$189&lt;Account_Register!$O$33,0,IF(Assumptions!J$189=Account_Register!$O$33,Account_Register!$M$33,IF(MOD(Assumptions!J$189-Account_Register!$O$33,12)=0,I67*Assumptions!$C$137,I67)))</f>
        <v>0</v>
      </c>
      <c r="K67" s="69" t="n">
        <f aca="false">IF(Assumptions!K$189&lt;Account_Register!$O$33,0,IF(Assumptions!K$189=Account_Register!$O$33,Account_Register!$M$33,IF(MOD(Assumptions!K$189-Account_Register!$O$33,12)=0,J67*Assumptions!$C$137,J67)))</f>
        <v>0</v>
      </c>
      <c r="L67" s="69" t="n">
        <f aca="false">IF(Assumptions!L$189&lt;Account_Register!$O$33,0,IF(Assumptions!L$189=Account_Register!$O$33,Account_Register!$M$33,IF(MOD(Assumptions!L$189-Account_Register!$O$33,12)=0,K67*Assumptions!$C$137,K67)))</f>
        <v>0</v>
      </c>
      <c r="M67" s="69" t="n">
        <f aca="false">IF(Assumptions!M$189&lt;Account_Register!$O$33,0,IF(Assumptions!M$189=Account_Register!$O$33,Account_Register!$M$33,IF(MOD(Assumptions!M$189-Account_Register!$O$33,12)=0,L67*Assumptions!$C$137,L67)))</f>
        <v>0</v>
      </c>
      <c r="N67" s="69" t="n">
        <f aca="false">IF(Assumptions!N$189&lt;Account_Register!$O$33,0,IF(Assumptions!N$189=Account_Register!$O$33,Account_Register!$M$33,IF(MOD(Assumptions!N$189-Account_Register!$O$33,12)=0,M67*Assumptions!$C$137,M67)))</f>
        <v>0</v>
      </c>
      <c r="O67" s="69" t="n">
        <f aca="false">IF(Assumptions!O$189&lt;Account_Register!$O$33,0,IF(Assumptions!O$189=Account_Register!$O$33,Account_Register!$M$33,IF(MOD(Assumptions!O$189-Account_Register!$O$33,12)=0,N67*Assumptions!$C$137,N67)))</f>
        <v>0</v>
      </c>
      <c r="P67" s="69" t="n">
        <f aca="false">IF(Assumptions!P$189&lt;Account_Register!$O$33,0,IF(Assumptions!P$189=Account_Register!$O$33,Account_Register!$M$33,IF(MOD(Assumptions!P$189-Account_Register!$O$33,12)=0,O67*Assumptions!$C$137,O67)))</f>
        <v>0</v>
      </c>
      <c r="Q67" s="69" t="n">
        <f aca="false">IF(Assumptions!Q$189&lt;Account_Register!$O$33,0,IF(Assumptions!Q$189=Account_Register!$O$33,Account_Register!$M$33,IF(MOD(Assumptions!Q$189-Account_Register!$O$33,12)=0,P67*Assumptions!$C$137,P67)))</f>
        <v>0</v>
      </c>
      <c r="R67" s="69" t="n">
        <f aca="false">IF(Assumptions!R$189&lt;Account_Register!$O$33,0,IF(Assumptions!R$189=Account_Register!$O$33,Account_Register!$M$33,IF(MOD(Assumptions!R$189-Account_Register!$O$33,12)=0,Q67*Assumptions!$C$137,Q67)))</f>
        <v>0</v>
      </c>
      <c r="S67" s="69" t="n">
        <f aca="false">IF(Assumptions!S$189&lt;Account_Register!$O$33,0,IF(Assumptions!S$189=Account_Register!$O$33,Account_Register!$M$33,IF(MOD(Assumptions!S$189-Account_Register!$O$33,12)=0,R67*Assumptions!$C$137,R67)))</f>
        <v>0.4</v>
      </c>
      <c r="T67" s="69" t="n">
        <f aca="false">IF(Assumptions!T$189&lt;Account_Register!$O$33,0,IF(Assumptions!T$189=Account_Register!$O$33,Account_Register!$M$33,IF(MOD(Assumptions!T$189-Account_Register!$O$33,12)=0,S67*Assumptions!$C$137,S67)))</f>
        <v>0.4</v>
      </c>
      <c r="U67" s="69" t="n">
        <f aca="false">IF(Assumptions!U$189&lt;Account_Register!$O$33,0,IF(Assumptions!U$189=Account_Register!$O$33,Account_Register!$M$33,IF(MOD(Assumptions!U$189-Account_Register!$O$33,12)=0,T67*Assumptions!$C$137,T67)))</f>
        <v>0.4</v>
      </c>
      <c r="V67" s="69" t="n">
        <f aca="false">IF(Assumptions!V$189&lt;Account_Register!$O$33,0,IF(Assumptions!V$189=Account_Register!$O$33,Account_Register!$M$33,IF(MOD(Assumptions!V$189-Account_Register!$O$33,12)=0,U67*Assumptions!$C$137,U67)))</f>
        <v>0.4</v>
      </c>
      <c r="W67" s="69" t="n">
        <f aca="false">IF(Assumptions!W$189&lt;Account_Register!$O$33,0,IF(Assumptions!W$189=Account_Register!$O$33,Account_Register!$M$33,IF(MOD(Assumptions!W$189-Account_Register!$O$33,12)=0,V67*Assumptions!$C$137,V67)))</f>
        <v>0.4</v>
      </c>
      <c r="X67" s="69" t="n">
        <f aca="false">IF(Assumptions!X$189&lt;Account_Register!$O$33,0,IF(Assumptions!X$189=Account_Register!$O$33,Account_Register!$M$33,IF(MOD(Assumptions!X$189-Account_Register!$O$33,12)=0,W67*Assumptions!$C$137,W67)))</f>
        <v>0.4</v>
      </c>
      <c r="Y67" s="69" t="n">
        <f aca="false">IF(Assumptions!Y$189&lt;Account_Register!$O$33,0,IF(Assumptions!Y$189=Account_Register!$O$33,Account_Register!$M$33,IF(MOD(Assumptions!Y$189-Account_Register!$O$33,12)=0,X67*Assumptions!$C$137,X67)))</f>
        <v>0.4</v>
      </c>
      <c r="Z67" s="69" t="n">
        <f aca="false">IF(Assumptions!Z$189&lt;Account_Register!$O$33,0,IF(Assumptions!Z$189=Account_Register!$O$33,Account_Register!$M$33,IF(MOD(Assumptions!Z$189-Account_Register!$O$33,12)=0,Y67*Assumptions!$C$137,Y67)))</f>
        <v>0.4</v>
      </c>
      <c r="AA67" s="69" t="n">
        <f aca="false">IF(Assumptions!AA$189&lt;Account_Register!$O$33,0,IF(Assumptions!AA$189=Account_Register!$O$33,Account_Register!$M$33,IF(MOD(Assumptions!AA$189-Account_Register!$O$33,12)=0,Z67*Assumptions!$C$137,Z67)))</f>
        <v>0.4</v>
      </c>
      <c r="AB67" s="69" t="n">
        <f aca="false">IF(Assumptions!AB$189&lt;Account_Register!$O$33,0,IF(Assumptions!AB$189=Account_Register!$O$33,Account_Register!$M$33,IF(MOD(Assumptions!AB$189-Account_Register!$O$33,12)=0,AA67*Assumptions!$C$137,AA67)))</f>
        <v>0.4</v>
      </c>
    </row>
    <row r="68" customFormat="false" ht="15" hidden="false" customHeight="false" outlineLevel="0" collapsed="false">
      <c r="A68" s="28" t="s">
        <v>1028</v>
      </c>
      <c r="B68" s="63"/>
      <c r="C68" s="68" t="n">
        <f aca="false">P68</f>
        <v>0</v>
      </c>
      <c r="D68" s="68" t="n">
        <f aca="false">AB68</f>
        <v>0.5</v>
      </c>
      <c r="E68" s="69" t="n">
        <f aca="false">IF(Assumptions!E$189&lt;Account_Register!$O$34,0,IF(Assumptions!E$189=Account_Register!$O$34,Account_Register!$M$34,IF(MOD(Assumptions!E$189-Account_Register!$O$34,12)=0,0*Assumptions!$C$137,0)))</f>
        <v>0</v>
      </c>
      <c r="F68" s="69" t="n">
        <f aca="false">IF(Assumptions!F$189&lt;Account_Register!$O$34,0,IF(Assumptions!F$189=Account_Register!$O$34,Account_Register!$M$34,IF(MOD(Assumptions!F$189-Account_Register!$O$34,12)=0,E68*Assumptions!$C$137,E68)))</f>
        <v>0</v>
      </c>
      <c r="G68" s="69" t="n">
        <f aca="false">IF(Assumptions!G$189&lt;Account_Register!$O$34,0,IF(Assumptions!G$189=Account_Register!$O$34,Account_Register!$M$34,IF(MOD(Assumptions!G$189-Account_Register!$O$34,12)=0,F68*Assumptions!$C$137,F68)))</f>
        <v>0</v>
      </c>
      <c r="H68" s="69" t="n">
        <f aca="false">IF(Assumptions!H$189&lt;Account_Register!$O$34,0,IF(Assumptions!H$189=Account_Register!$O$34,Account_Register!$M$34,IF(MOD(Assumptions!H$189-Account_Register!$O$34,12)=0,G68*Assumptions!$C$137,G68)))</f>
        <v>0</v>
      </c>
      <c r="I68" s="69" t="n">
        <f aca="false">IF(Assumptions!I$189&lt;Account_Register!$O$34,0,IF(Assumptions!I$189=Account_Register!$O$34,Account_Register!$M$34,IF(MOD(Assumptions!I$189-Account_Register!$O$34,12)=0,H68*Assumptions!$C$137,H68)))</f>
        <v>0</v>
      </c>
      <c r="J68" s="69" t="n">
        <f aca="false">IF(Assumptions!J$189&lt;Account_Register!$O$34,0,IF(Assumptions!J$189=Account_Register!$O$34,Account_Register!$M$34,IF(MOD(Assumptions!J$189-Account_Register!$O$34,12)=0,I68*Assumptions!$C$137,I68)))</f>
        <v>0</v>
      </c>
      <c r="K68" s="69" t="n">
        <f aca="false">IF(Assumptions!K$189&lt;Account_Register!$O$34,0,IF(Assumptions!K$189=Account_Register!$O$34,Account_Register!$M$34,IF(MOD(Assumptions!K$189-Account_Register!$O$34,12)=0,J68*Assumptions!$C$137,J68)))</f>
        <v>0</v>
      </c>
      <c r="L68" s="69" t="n">
        <f aca="false">IF(Assumptions!L$189&lt;Account_Register!$O$34,0,IF(Assumptions!L$189=Account_Register!$O$34,Account_Register!$M$34,IF(MOD(Assumptions!L$189-Account_Register!$O$34,12)=0,K68*Assumptions!$C$137,K68)))</f>
        <v>0</v>
      </c>
      <c r="M68" s="69" t="n">
        <f aca="false">IF(Assumptions!M$189&lt;Account_Register!$O$34,0,IF(Assumptions!M$189=Account_Register!$O$34,Account_Register!$M$34,IF(MOD(Assumptions!M$189-Account_Register!$O$34,12)=0,L68*Assumptions!$C$137,L68)))</f>
        <v>0</v>
      </c>
      <c r="N68" s="69" t="n">
        <f aca="false">IF(Assumptions!N$189&lt;Account_Register!$O$34,0,IF(Assumptions!N$189=Account_Register!$O$34,Account_Register!$M$34,IF(MOD(Assumptions!N$189-Account_Register!$O$34,12)=0,M68*Assumptions!$C$137,M68)))</f>
        <v>0</v>
      </c>
      <c r="O68" s="69" t="n">
        <f aca="false">IF(Assumptions!O$189&lt;Account_Register!$O$34,0,IF(Assumptions!O$189=Account_Register!$O$34,Account_Register!$M$34,IF(MOD(Assumptions!O$189-Account_Register!$O$34,12)=0,N68*Assumptions!$C$137,N68)))</f>
        <v>0</v>
      </c>
      <c r="P68" s="69" t="n">
        <f aca="false">IF(Assumptions!P$189&lt;Account_Register!$O$34,0,IF(Assumptions!P$189=Account_Register!$O$34,Account_Register!$M$34,IF(MOD(Assumptions!P$189-Account_Register!$O$34,12)=0,O68*Assumptions!$C$137,O68)))</f>
        <v>0</v>
      </c>
      <c r="Q68" s="69" t="n">
        <f aca="false">IF(Assumptions!Q$189&lt;Account_Register!$O$34,0,IF(Assumptions!Q$189=Account_Register!$O$34,Account_Register!$M$34,IF(MOD(Assumptions!Q$189-Account_Register!$O$34,12)=0,P68*Assumptions!$C$137,P68)))</f>
        <v>0</v>
      </c>
      <c r="R68" s="69" t="n">
        <f aca="false">IF(Assumptions!R$189&lt;Account_Register!$O$34,0,IF(Assumptions!R$189=Account_Register!$O$34,Account_Register!$M$34,IF(MOD(Assumptions!R$189-Account_Register!$O$34,12)=0,Q68*Assumptions!$C$137,Q68)))</f>
        <v>0</v>
      </c>
      <c r="S68" s="69" t="n">
        <f aca="false">IF(Assumptions!S$189&lt;Account_Register!$O$34,0,IF(Assumptions!S$189=Account_Register!$O$34,Account_Register!$M$34,IF(MOD(Assumptions!S$189-Account_Register!$O$34,12)=0,R68*Assumptions!$C$137,R68)))</f>
        <v>0</v>
      </c>
      <c r="T68" s="69" t="n">
        <f aca="false">IF(Assumptions!T$189&lt;Account_Register!$O$34,0,IF(Assumptions!T$189=Account_Register!$O$34,Account_Register!$M$34,IF(MOD(Assumptions!T$189-Account_Register!$O$34,12)=0,S68*Assumptions!$C$137,S68)))</f>
        <v>0.5</v>
      </c>
      <c r="U68" s="69" t="n">
        <f aca="false">IF(Assumptions!U$189&lt;Account_Register!$O$34,0,IF(Assumptions!U$189=Account_Register!$O$34,Account_Register!$M$34,IF(MOD(Assumptions!U$189-Account_Register!$O$34,12)=0,T68*Assumptions!$C$137,T68)))</f>
        <v>0.5</v>
      </c>
      <c r="V68" s="69" t="n">
        <f aca="false">IF(Assumptions!V$189&lt;Account_Register!$O$34,0,IF(Assumptions!V$189=Account_Register!$O$34,Account_Register!$M$34,IF(MOD(Assumptions!V$189-Account_Register!$O$34,12)=0,U68*Assumptions!$C$137,U68)))</f>
        <v>0.5</v>
      </c>
      <c r="W68" s="69" t="n">
        <f aca="false">IF(Assumptions!W$189&lt;Account_Register!$O$34,0,IF(Assumptions!W$189=Account_Register!$O$34,Account_Register!$M$34,IF(MOD(Assumptions!W$189-Account_Register!$O$34,12)=0,V68*Assumptions!$C$137,V68)))</f>
        <v>0.5</v>
      </c>
      <c r="X68" s="69" t="n">
        <f aca="false">IF(Assumptions!X$189&lt;Account_Register!$O$34,0,IF(Assumptions!X$189=Account_Register!$O$34,Account_Register!$M$34,IF(MOD(Assumptions!X$189-Account_Register!$O$34,12)=0,W68*Assumptions!$C$137,W68)))</f>
        <v>0.5</v>
      </c>
      <c r="Y68" s="69" t="n">
        <f aca="false">IF(Assumptions!Y$189&lt;Account_Register!$O$34,0,IF(Assumptions!Y$189=Account_Register!$O$34,Account_Register!$M$34,IF(MOD(Assumptions!Y$189-Account_Register!$O$34,12)=0,X68*Assumptions!$C$137,X68)))</f>
        <v>0.5</v>
      </c>
      <c r="Z68" s="69" t="n">
        <f aca="false">IF(Assumptions!Z$189&lt;Account_Register!$O$34,0,IF(Assumptions!Z$189=Account_Register!$O$34,Account_Register!$M$34,IF(MOD(Assumptions!Z$189-Account_Register!$O$34,12)=0,Y68*Assumptions!$C$137,Y68)))</f>
        <v>0.5</v>
      </c>
      <c r="AA68" s="69" t="n">
        <f aca="false">IF(Assumptions!AA$189&lt;Account_Register!$O$34,0,IF(Assumptions!AA$189=Account_Register!$O$34,Account_Register!$M$34,IF(MOD(Assumptions!AA$189-Account_Register!$O$34,12)=0,Z68*Assumptions!$C$137,Z68)))</f>
        <v>0.5</v>
      </c>
      <c r="AB68" s="69" t="n">
        <f aca="false">IF(Assumptions!AB$189&lt;Account_Register!$O$34,0,IF(Assumptions!AB$189=Account_Register!$O$34,Account_Register!$M$34,IF(MOD(Assumptions!AB$189-Account_Register!$O$34,12)=0,AA68*Assumptions!$C$137,AA68)))</f>
        <v>0.5</v>
      </c>
    </row>
    <row r="69" customFormat="false" ht="15" hidden="false" customHeight="false" outlineLevel="0" collapsed="false">
      <c r="A69" s="28" t="s">
        <v>1029</v>
      </c>
      <c r="B69" s="63" t="s">
        <v>998</v>
      </c>
      <c r="C69" s="68" t="n">
        <f aca="false">P69</f>
        <v>0</v>
      </c>
      <c r="D69" s="68" t="n">
        <f aca="false">AB69</f>
        <v>3.5</v>
      </c>
      <c r="E69" s="69" t="n">
        <f aca="false">0+IF(AND(Assumptions!E$190="F",Assumptions!E$188&gt;=Assumptions!$C$140),Assumptions!$F$174,0)</f>
        <v>0</v>
      </c>
      <c r="F69" s="69" t="n">
        <f aca="false">E69+IF(AND(Assumptions!F$190="F",Assumptions!F$188&gt;=Assumptions!$C$140),Assumptions!$F$174,0)</f>
        <v>0</v>
      </c>
      <c r="G69" s="69" t="n">
        <f aca="false">F69+IF(AND(Assumptions!G$190="F",Assumptions!G$188&gt;=Assumptions!$C$140),Assumptions!$F$174,0)</f>
        <v>0</v>
      </c>
      <c r="H69" s="69" t="n">
        <f aca="false">G69+IF(AND(Assumptions!H$190="F",Assumptions!H$188&gt;=Assumptions!$C$140),Assumptions!$F$174,0)</f>
        <v>0</v>
      </c>
      <c r="I69" s="69" t="n">
        <f aca="false">H69+IF(AND(Assumptions!I$190="F",Assumptions!I$188&gt;=Assumptions!$C$140),Assumptions!$F$174,0)</f>
        <v>0</v>
      </c>
      <c r="J69" s="69" t="n">
        <f aca="false">I69+IF(AND(Assumptions!J$190="F",Assumptions!J$188&gt;=Assumptions!$C$140),Assumptions!$F$174,0)</f>
        <v>0</v>
      </c>
      <c r="K69" s="69" t="n">
        <f aca="false">J69+IF(AND(Assumptions!K$190="F",Assumptions!K$188&gt;=Assumptions!$C$140),Assumptions!$F$174,0)</f>
        <v>0</v>
      </c>
      <c r="L69" s="69" t="n">
        <f aca="false">K69+IF(AND(Assumptions!L$190="F",Assumptions!L$188&gt;=Assumptions!$C$140),Assumptions!$F$174,0)</f>
        <v>0</v>
      </c>
      <c r="M69" s="69" t="n">
        <f aca="false">L69+IF(AND(Assumptions!M$190="F",Assumptions!M$188&gt;=Assumptions!$C$140),Assumptions!$F$174,0)</f>
        <v>0</v>
      </c>
      <c r="N69" s="69" t="n">
        <f aca="false">M69+IF(AND(Assumptions!N$190="F",Assumptions!N$188&gt;=Assumptions!$C$140),Assumptions!$F$174,0)</f>
        <v>0</v>
      </c>
      <c r="O69" s="69" t="n">
        <f aca="false">N69+IF(AND(Assumptions!O$190="F",Assumptions!O$188&gt;=Assumptions!$C$140),Assumptions!$F$174,0)</f>
        <v>0</v>
      </c>
      <c r="P69" s="69" t="n">
        <f aca="false">O69+IF(AND(Assumptions!P$190="F",Assumptions!P$188&gt;=Assumptions!$C$140),Assumptions!$F$174,0)</f>
        <v>0</v>
      </c>
      <c r="Q69" s="69" t="n">
        <f aca="false">P69+IF(AND(Assumptions!Q$190="F",Assumptions!Q$188&gt;=Assumptions!$C$140),Assumptions!$F$174,0)</f>
        <v>0</v>
      </c>
      <c r="R69" s="69" t="n">
        <f aca="false">Q69+IF(AND(Assumptions!R$190="F",Assumptions!R$188&gt;=Assumptions!$C$140),Assumptions!$F$174,0)</f>
        <v>0</v>
      </c>
      <c r="S69" s="69" t="n">
        <f aca="false">R69+IF(AND(Assumptions!S$190="F",Assumptions!S$188&gt;=Assumptions!$C$140),Assumptions!$F$174,0)</f>
        <v>0</v>
      </c>
      <c r="T69" s="69" t="n">
        <f aca="false">S69+IF(AND(Assumptions!T$190="F",Assumptions!T$188&gt;=Assumptions!$C$140),Assumptions!$F$174,0)</f>
        <v>0</v>
      </c>
      <c r="U69" s="69" t="n">
        <f aca="false">T69+IF(AND(Assumptions!U$190="F",Assumptions!U$188&gt;=Assumptions!$C$140),Assumptions!$F$174,0)</f>
        <v>0</v>
      </c>
      <c r="V69" s="69" t="n">
        <f aca="false">U69+IF(AND(Assumptions!V$190="F",Assumptions!V$188&gt;=Assumptions!$C$140),Assumptions!$F$174,0)</f>
        <v>0.5</v>
      </c>
      <c r="W69" s="69" t="n">
        <f aca="false">V69+IF(AND(Assumptions!W$190="F",Assumptions!W$188&gt;=Assumptions!$C$140),Assumptions!$F$174,0)</f>
        <v>1</v>
      </c>
      <c r="X69" s="69" t="n">
        <f aca="false">W69+IF(AND(Assumptions!X$190="F",Assumptions!X$188&gt;=Assumptions!$C$140),Assumptions!$F$174,0)</f>
        <v>1.5</v>
      </c>
      <c r="Y69" s="69" t="n">
        <f aca="false">X69+IF(AND(Assumptions!Y$190="F",Assumptions!Y$188&gt;=Assumptions!$C$140),Assumptions!$F$174,0)</f>
        <v>2</v>
      </c>
      <c r="Z69" s="69" t="n">
        <f aca="false">Y69+IF(AND(Assumptions!Z$190="F",Assumptions!Z$188&gt;=Assumptions!$C$140),Assumptions!$F$174,0)</f>
        <v>2.5</v>
      </c>
      <c r="AA69" s="69" t="n">
        <f aca="false">Z69+IF(AND(Assumptions!AA$190="F",Assumptions!AA$188&gt;=Assumptions!$C$140),Assumptions!$F$174,0)</f>
        <v>3</v>
      </c>
      <c r="AB69" s="69" t="n">
        <f aca="false">AA69+IF(AND(Assumptions!AB$190="F",Assumptions!AB$188&gt;=Assumptions!$C$140),Assumptions!$F$174,0)</f>
        <v>3.5</v>
      </c>
    </row>
    <row r="70" customFormat="false" ht="15" hidden="false" customHeight="false" outlineLevel="0" collapsed="false">
      <c r="A70" s="59" t="s">
        <v>1030</v>
      </c>
      <c r="B70" s="60"/>
      <c r="C70" s="82" t="n">
        <f aca="false">P70</f>
        <v>21.64</v>
      </c>
      <c r="D70" s="82" t="n">
        <f aca="false">AB70</f>
        <v>25.4974</v>
      </c>
      <c r="E70" s="82" t="n">
        <f aca="false">SUM(E41:E68)+E69</f>
        <v>20</v>
      </c>
      <c r="F70" s="82" t="n">
        <f aca="false">SUM(F41:F68)+F69</f>
        <v>19</v>
      </c>
      <c r="G70" s="82" t="n">
        <f aca="false">SUM(G41:G68)+G69</f>
        <v>19</v>
      </c>
      <c r="H70" s="82" t="n">
        <f aca="false">SUM(H41:H68)+H69</f>
        <v>20</v>
      </c>
      <c r="I70" s="82" t="n">
        <f aca="false">SUM(I41:I68)+I69</f>
        <v>20</v>
      </c>
      <c r="J70" s="82" t="n">
        <f aca="false">SUM(J41:J68)+J69</f>
        <v>20</v>
      </c>
      <c r="K70" s="82" t="n">
        <f aca="false">SUM(K41:K68)+K69</f>
        <v>21</v>
      </c>
      <c r="L70" s="82" t="n">
        <f aca="false">SUM(L41:L68)+L69</f>
        <v>21</v>
      </c>
      <c r="M70" s="82" t="n">
        <f aca="false">SUM(M41:M68)+M69</f>
        <v>20.81</v>
      </c>
      <c r="N70" s="82" t="n">
        <f aca="false">SUM(N41:N68)+N69</f>
        <v>20.74</v>
      </c>
      <c r="O70" s="82" t="n">
        <f aca="false">SUM(O41:O68)+O69</f>
        <v>21.14</v>
      </c>
      <c r="P70" s="82" t="n">
        <f aca="false">SUM(P41:P68)+P69</f>
        <v>21.64</v>
      </c>
      <c r="Q70" s="82" t="n">
        <f aca="false">SUM(Q41:Q68)+Q69</f>
        <v>21.74</v>
      </c>
      <c r="R70" s="82" t="n">
        <f aca="false">SUM(R41:R68)+R69</f>
        <v>22.24</v>
      </c>
      <c r="S70" s="82" t="n">
        <f aca="false">SUM(S41:S68)+S69</f>
        <v>22.45</v>
      </c>
      <c r="T70" s="82" t="n">
        <f aca="false">SUM(T41:T68)+T69</f>
        <v>22.84</v>
      </c>
      <c r="U70" s="82" t="n">
        <f aca="false">SUM(U41:U68)+U69</f>
        <v>22.72</v>
      </c>
      <c r="V70" s="82" t="n">
        <f aca="false">SUM(V41:V68)+V69</f>
        <v>23.09</v>
      </c>
      <c r="W70" s="82" t="n">
        <f aca="false">SUM(W41:W68)+W69</f>
        <v>23.48</v>
      </c>
      <c r="X70" s="82" t="n">
        <f aca="false">SUM(X41:X68)+X69</f>
        <v>23.98</v>
      </c>
      <c r="Y70" s="82" t="n">
        <f aca="false">SUM(Y41:Y68)+Y69</f>
        <v>24.3025</v>
      </c>
      <c r="Z70" s="82" t="n">
        <f aca="false">SUM(Z41:Z68)+Z69</f>
        <v>24.7374</v>
      </c>
      <c r="AA70" s="82" t="n">
        <f aca="false">SUM(AA41:AA68)+AA69</f>
        <v>25.0224</v>
      </c>
      <c r="AB70" s="82" t="n">
        <f aca="false">SUM(AB41:AB68)+AB69</f>
        <v>25.4974</v>
      </c>
    </row>
    <row r="71" customFormat="false" ht="15" hidden="false" customHeight="false" outlineLevel="0" collapsed="false">
      <c r="A71" s="22" t="s">
        <v>1031</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row>
    <row r="72" customFormat="false" ht="15" hidden="false" customHeight="false" outlineLevel="0" collapsed="false">
      <c r="A72" s="28" t="s">
        <v>1001</v>
      </c>
      <c r="B72" s="63"/>
      <c r="C72" s="64" t="n">
        <f aca="false">SUM(E72:P72)</f>
        <v>176117.88</v>
      </c>
      <c r="D72" s="64" t="n">
        <f aca="false">SUM(Q72:AB72)</f>
        <v>142853.615415</v>
      </c>
      <c r="E72" s="74" t="n">
        <f aca="false">12*E9</f>
        <v>176117.88</v>
      </c>
      <c r="F72" s="74" t="n">
        <f aca="false">(F9-E9)*11</f>
        <v>0</v>
      </c>
      <c r="G72" s="74" t="n">
        <f aca="false">(G9-F9)*10</f>
        <v>0</v>
      </c>
      <c r="H72" s="74" t="n">
        <f aca="false">(H9-G9)*9</f>
        <v>0</v>
      </c>
      <c r="I72" s="74" t="n">
        <f aca="false">(I9-H9)*8</f>
        <v>0</v>
      </c>
      <c r="J72" s="74" t="n">
        <f aca="false">(J9-I9)*7</f>
        <v>0</v>
      </c>
      <c r="K72" s="74" t="n">
        <f aca="false">(K9-J9)*6</f>
        <v>0</v>
      </c>
      <c r="L72" s="74" t="n">
        <f aca="false">(L9-K9)*5</f>
        <v>0</v>
      </c>
      <c r="M72" s="74" t="n">
        <f aca="false">(M9-L9)*4</f>
        <v>0</v>
      </c>
      <c r="N72" s="74" t="n">
        <f aca="false">(N9-M9)*3</f>
        <v>0</v>
      </c>
      <c r="O72" s="74" t="n">
        <f aca="false">(O9-N9)*2</f>
        <v>0</v>
      </c>
      <c r="P72" s="74" t="n">
        <f aca="false">(P9-O9)*1</f>
        <v>0</v>
      </c>
      <c r="Q72" s="74" t="n">
        <f aca="false">12*Q9</f>
        <v>142853.615415</v>
      </c>
      <c r="R72" s="74" t="n">
        <f aca="false">(R9-Q9)*11</f>
        <v>0</v>
      </c>
      <c r="S72" s="74" t="n">
        <f aca="false">(S9-R9)*10</f>
        <v>0</v>
      </c>
      <c r="T72" s="74" t="n">
        <f aca="false">(T9-S9)*9</f>
        <v>0</v>
      </c>
      <c r="U72" s="74" t="n">
        <f aca="false">(U9-T9)*8</f>
        <v>0</v>
      </c>
      <c r="V72" s="74" t="n">
        <f aca="false">(V9-U9)*7</f>
        <v>0</v>
      </c>
      <c r="W72" s="74" t="n">
        <f aca="false">(W9-V9)*6</f>
        <v>0</v>
      </c>
      <c r="X72" s="74" t="n">
        <f aca="false">(X9-W9)*5</f>
        <v>0</v>
      </c>
      <c r="Y72" s="74" t="n">
        <f aca="false">(Y9-X9)*4</f>
        <v>0</v>
      </c>
      <c r="Z72" s="74" t="n">
        <f aca="false">(Z9-Y9)*3</f>
        <v>0</v>
      </c>
      <c r="AA72" s="74" t="n">
        <f aca="false">(AA9-Z9)*2</f>
        <v>0</v>
      </c>
      <c r="AB72" s="74" t="n">
        <f aca="false">(AB9-AA9)*1</f>
        <v>0</v>
      </c>
    </row>
    <row r="73" customFormat="false" ht="15" hidden="false" customHeight="false" outlineLevel="0" collapsed="false">
      <c r="A73" s="28" t="s">
        <v>1002</v>
      </c>
      <c r="B73" s="63"/>
      <c r="C73" s="64" t="n">
        <f aca="false">SUM(E73:P73)</f>
        <v>149984.04</v>
      </c>
      <c r="D73" s="64" t="n">
        <f aca="false">SUM(Q73:AB73)</f>
        <v>155330.262297</v>
      </c>
      <c r="E73" s="65" t="n">
        <f aca="false">(E10-Account_Register!$H$8)*2</f>
        <v>0</v>
      </c>
      <c r="F73" s="74" t="n">
        <f aca="false">(F10-E10)*1</f>
        <v>0</v>
      </c>
      <c r="G73" s="74" t="n">
        <f aca="false">12*G10</f>
        <v>143984.04</v>
      </c>
      <c r="H73" s="74" t="n">
        <f aca="false">(H10-G10)*11</f>
        <v>0</v>
      </c>
      <c r="I73" s="74" t="n">
        <f aca="false">(I10-H10)*10</f>
        <v>6000</v>
      </c>
      <c r="J73" s="74" t="n">
        <f aca="false">(J10-I10)*9</f>
        <v>0</v>
      </c>
      <c r="K73" s="74" t="n">
        <f aca="false">(K10-J10)*8</f>
        <v>0</v>
      </c>
      <c r="L73" s="74" t="n">
        <f aca="false">(L10-K10)*7</f>
        <v>0</v>
      </c>
      <c r="M73" s="74" t="n">
        <f aca="false">(M10-L10)*6</f>
        <v>0</v>
      </c>
      <c r="N73" s="74" t="n">
        <f aca="false">(N10-M10)*5</f>
        <v>0</v>
      </c>
      <c r="O73" s="74" t="n">
        <f aca="false">(O10-N10)*4</f>
        <v>0</v>
      </c>
      <c r="P73" s="74" t="n">
        <f aca="false">(P10-O10)*3</f>
        <v>0</v>
      </c>
      <c r="Q73" s="74" t="n">
        <f aca="false">(Q10-P10)*2</f>
        <v>0</v>
      </c>
      <c r="R73" s="74" t="n">
        <f aca="false">(R10-Q10)*1</f>
        <v>0</v>
      </c>
      <c r="S73" s="74" t="n">
        <f aca="false">12*S10</f>
        <v>155330.262297</v>
      </c>
      <c r="T73" s="74" t="n">
        <f aca="false">(T10-S10)*11</f>
        <v>0</v>
      </c>
      <c r="U73" s="74" t="n">
        <f aca="false">(U10-T10)*10</f>
        <v>0</v>
      </c>
      <c r="V73" s="74" t="n">
        <f aca="false">(V10-U10)*9</f>
        <v>0</v>
      </c>
      <c r="W73" s="74" t="n">
        <f aca="false">(W10-V10)*8</f>
        <v>0</v>
      </c>
      <c r="X73" s="74" t="n">
        <f aca="false">(X10-W10)*7</f>
        <v>0</v>
      </c>
      <c r="Y73" s="74" t="n">
        <f aca="false">(Y10-X10)*6</f>
        <v>0</v>
      </c>
      <c r="Z73" s="74" t="n">
        <f aca="false">(Z10-Y10)*5</f>
        <v>0</v>
      </c>
      <c r="AA73" s="74" t="n">
        <f aca="false">(AA10-Z10)*4</f>
        <v>0</v>
      </c>
      <c r="AB73" s="74" t="n">
        <f aca="false">(AB10-AA10)*3</f>
        <v>0</v>
      </c>
    </row>
    <row r="74" customFormat="false" ht="15" hidden="false" customHeight="false" outlineLevel="0" collapsed="false">
      <c r="A74" s="28" t="s">
        <v>1003</v>
      </c>
      <c r="B74" s="63"/>
      <c r="C74" s="64" t="n">
        <f aca="false">SUM(E74:P74)</f>
        <v>114634.2</v>
      </c>
      <c r="D74" s="64" t="n">
        <f aca="false">SUM(Q74:AB74)</f>
        <v>116656.347288</v>
      </c>
      <c r="E74" s="65" t="n">
        <f aca="false">(E11-Account_Register!$H$9)*5</f>
        <v>0</v>
      </c>
      <c r="F74" s="74" t="n">
        <f aca="false">(F11-E11)*4</f>
        <v>0</v>
      </c>
      <c r="G74" s="74" t="n">
        <f aca="false">(G11-F11)*3</f>
        <v>0</v>
      </c>
      <c r="H74" s="74" t="n">
        <f aca="false">(H11-G11)*2</f>
        <v>0</v>
      </c>
      <c r="I74" s="74" t="n">
        <f aca="false">(I11-H11)*1</f>
        <v>0</v>
      </c>
      <c r="J74" s="74" t="n">
        <f aca="false">12*J11</f>
        <v>114634.2</v>
      </c>
      <c r="K74" s="74" t="n">
        <f aca="false">(K11-J11)*11</f>
        <v>0</v>
      </c>
      <c r="L74" s="74" t="n">
        <f aca="false">(L11-K11)*10</f>
        <v>0</v>
      </c>
      <c r="M74" s="74" t="n">
        <f aca="false">(M11-L11)*9</f>
        <v>0</v>
      </c>
      <c r="N74" s="74" t="n">
        <f aca="false">(N11-M11)*8</f>
        <v>0</v>
      </c>
      <c r="O74" s="74" t="n">
        <f aca="false">(O11-N11)*7</f>
        <v>0</v>
      </c>
      <c r="P74" s="74" t="n">
        <f aca="false">(P11-O11)*6</f>
        <v>0</v>
      </c>
      <c r="Q74" s="74" t="n">
        <f aca="false">(Q11-P11)*5</f>
        <v>0</v>
      </c>
      <c r="R74" s="74" t="n">
        <f aca="false">(R11-Q11)*4</f>
        <v>0</v>
      </c>
      <c r="S74" s="74" t="n">
        <f aca="false">(S11-R11)*3</f>
        <v>0</v>
      </c>
      <c r="T74" s="74" t="n">
        <f aca="false">(T11-S11)*2</f>
        <v>0</v>
      </c>
      <c r="U74" s="74" t="n">
        <f aca="false">(U11-T11)*1</f>
        <v>0</v>
      </c>
      <c r="V74" s="74" t="n">
        <f aca="false">12*V11</f>
        <v>116656.347288</v>
      </c>
      <c r="W74" s="74" t="n">
        <f aca="false">(W11-V11)*11</f>
        <v>0</v>
      </c>
      <c r="X74" s="74" t="n">
        <f aca="false">(X11-W11)*10</f>
        <v>0</v>
      </c>
      <c r="Y74" s="74" t="n">
        <f aca="false">(Y11-X11)*9</f>
        <v>0</v>
      </c>
      <c r="Z74" s="74" t="n">
        <f aca="false">(Z11-Y11)*8</f>
        <v>0</v>
      </c>
      <c r="AA74" s="74" t="n">
        <f aca="false">(AA11-Z11)*7</f>
        <v>0</v>
      </c>
      <c r="AB74" s="74" t="n">
        <f aca="false">(AB11-AA11)*6</f>
        <v>0</v>
      </c>
    </row>
    <row r="75" customFormat="false" ht="15" hidden="false" customHeight="false" outlineLevel="0" collapsed="false">
      <c r="A75" s="28" t="s">
        <v>1004</v>
      </c>
      <c r="B75" s="63"/>
      <c r="C75" s="64" t="n">
        <f aca="false">SUM(E75:P75)</f>
        <v>98416.7763696</v>
      </c>
      <c r="D75" s="64" t="n">
        <f aca="false">SUM(Q75:AB75)</f>
        <v>98044.3672878175</v>
      </c>
      <c r="E75" s="65" t="n">
        <f aca="false">(E12-Account_Register!$H$10)*9</f>
        <v>0</v>
      </c>
      <c r="F75" s="74" t="n">
        <f aca="false">(F12-E12)*8</f>
        <v>0</v>
      </c>
      <c r="G75" s="74" t="n">
        <f aca="false">(G12-F12)*7</f>
        <v>0</v>
      </c>
      <c r="H75" s="74" t="n">
        <f aca="false">(H12-G12)*6</f>
        <v>0</v>
      </c>
      <c r="I75" s="74" t="n">
        <f aca="false">(I12-H12)*5</f>
        <v>0</v>
      </c>
      <c r="J75" s="74" t="n">
        <f aca="false">(J12-I12)*4</f>
        <v>0</v>
      </c>
      <c r="K75" s="74" t="n">
        <f aca="false">(K12-J12)*3</f>
        <v>0</v>
      </c>
      <c r="L75" s="74" t="n">
        <f aca="false">(L12-K12)*2</f>
        <v>0</v>
      </c>
      <c r="M75" s="74" t="n">
        <f aca="false">(M12-L12)*1</f>
        <v>0</v>
      </c>
      <c r="N75" s="74" t="n">
        <f aca="false">12*N12</f>
        <v>98416.7763696</v>
      </c>
      <c r="O75" s="74" t="n">
        <f aca="false">(O12-N12)*11</f>
        <v>0</v>
      </c>
      <c r="P75" s="74" t="n">
        <f aca="false">(P12-O12)*10</f>
        <v>0</v>
      </c>
      <c r="Q75" s="74" t="n">
        <f aca="false">(Q12-P12)*9</f>
        <v>0</v>
      </c>
      <c r="R75" s="74" t="n">
        <f aca="false">(R12-Q12)*8</f>
        <v>0</v>
      </c>
      <c r="S75" s="74" t="n">
        <f aca="false">(S12-R12)*7</f>
        <v>0</v>
      </c>
      <c r="T75" s="74" t="n">
        <f aca="false">(T12-S12)*6</f>
        <v>0</v>
      </c>
      <c r="U75" s="74" t="n">
        <f aca="false">(U12-T12)*5</f>
        <v>0</v>
      </c>
      <c r="V75" s="74" t="n">
        <f aca="false">(V12-U12)*4</f>
        <v>0</v>
      </c>
      <c r="W75" s="74" t="n">
        <f aca="false">(W12-V12)*3</f>
        <v>0</v>
      </c>
      <c r="X75" s="74" t="n">
        <f aca="false">(X12-W12)*2</f>
        <v>0</v>
      </c>
      <c r="Y75" s="74" t="n">
        <f aca="false">(Y12-X12)*1</f>
        <v>0</v>
      </c>
      <c r="Z75" s="74" t="n">
        <f aca="false">12*Z12</f>
        <v>98044.3672878175</v>
      </c>
      <c r="AA75" s="74" t="n">
        <f aca="false">(AA12-Z12)*11</f>
        <v>0</v>
      </c>
      <c r="AB75" s="74" t="n">
        <f aca="false">(AB12-AA12)*10</f>
        <v>0</v>
      </c>
    </row>
    <row r="76" customFormat="false" ht="15" hidden="false" customHeight="false" outlineLevel="0" collapsed="false">
      <c r="A76" s="28" t="s">
        <v>1005</v>
      </c>
      <c r="B76" s="63"/>
      <c r="C76" s="64" t="n">
        <f aca="false">SUM(E76:P76)</f>
        <v>0</v>
      </c>
      <c r="D76" s="64" t="n">
        <f aca="false">SUM(Q76:AB76)</f>
        <v>0</v>
      </c>
      <c r="E76" s="65" t="n">
        <f aca="false">(E13-Account_Register!$H$11)*1</f>
        <v>0</v>
      </c>
      <c r="F76" s="74" t="n">
        <f aca="false">12*F13</f>
        <v>0</v>
      </c>
      <c r="G76" s="74" t="n">
        <f aca="false">(G13-F13)*11</f>
        <v>0</v>
      </c>
      <c r="H76" s="74" t="n">
        <f aca="false">(H13-G13)*10</f>
        <v>0</v>
      </c>
      <c r="I76" s="74" t="n">
        <f aca="false">(I13-H13)*9</f>
        <v>0</v>
      </c>
      <c r="J76" s="74" t="n">
        <f aca="false">(J13-I13)*8</f>
        <v>0</v>
      </c>
      <c r="K76" s="74" t="n">
        <f aca="false">(K13-J13)*7</f>
        <v>0</v>
      </c>
      <c r="L76" s="74" t="n">
        <f aca="false">(L13-K13)*6</f>
        <v>0</v>
      </c>
      <c r="M76" s="74" t="n">
        <f aca="false">(M13-L13)*5</f>
        <v>0</v>
      </c>
      <c r="N76" s="74" t="n">
        <f aca="false">(N13-M13)*4</f>
        <v>0</v>
      </c>
      <c r="O76" s="74" t="n">
        <f aca="false">(O13-N13)*3</f>
        <v>0</v>
      </c>
      <c r="P76" s="74" t="n">
        <f aca="false">(P13-O13)*2</f>
        <v>0</v>
      </c>
      <c r="Q76" s="74" t="n">
        <f aca="false">(Q13-P13)*1</f>
        <v>0</v>
      </c>
      <c r="R76" s="74" t="n">
        <f aca="false">12*R13</f>
        <v>0</v>
      </c>
      <c r="S76" s="74" t="n">
        <f aca="false">(S13-R13)*11</f>
        <v>0</v>
      </c>
      <c r="T76" s="74" t="n">
        <f aca="false">(T13-S13)*10</f>
        <v>0</v>
      </c>
      <c r="U76" s="74" t="n">
        <f aca="false">(U13-T13)*9</f>
        <v>0</v>
      </c>
      <c r="V76" s="74" t="n">
        <f aca="false">(V13-U13)*8</f>
        <v>0</v>
      </c>
      <c r="W76" s="74" t="n">
        <f aca="false">(W13-V13)*7</f>
        <v>0</v>
      </c>
      <c r="X76" s="74" t="n">
        <f aca="false">(X13-W13)*6</f>
        <v>0</v>
      </c>
      <c r="Y76" s="74" t="n">
        <f aca="false">(Y13-X13)*5</f>
        <v>0</v>
      </c>
      <c r="Z76" s="74" t="n">
        <f aca="false">(Z13-Y13)*4</f>
        <v>0</v>
      </c>
      <c r="AA76" s="74" t="n">
        <f aca="false">(AA13-Z13)*3</f>
        <v>0</v>
      </c>
      <c r="AB76" s="74" t="n">
        <f aca="false">(AB13-AA13)*2</f>
        <v>0</v>
      </c>
    </row>
    <row r="77" customFormat="false" ht="15" hidden="false" customHeight="false" outlineLevel="0" collapsed="false">
      <c r="A77" s="28" t="s">
        <v>1006</v>
      </c>
      <c r="B77" s="63"/>
      <c r="C77" s="64" t="n">
        <f aca="false">SUM(E77:P77)</f>
        <v>85560.48</v>
      </c>
      <c r="D77" s="64" t="n">
        <f aca="false">SUM(Q77:AB77)</f>
        <v>86981.6395728</v>
      </c>
      <c r="E77" s="65" t="n">
        <f aca="false">(E14-Account_Register!$H$12)*4</f>
        <v>0</v>
      </c>
      <c r="F77" s="74" t="n">
        <f aca="false">(F14-E14)*3</f>
        <v>0</v>
      </c>
      <c r="G77" s="74" t="n">
        <f aca="false">(G14-F14)*2</f>
        <v>0</v>
      </c>
      <c r="H77" s="74" t="n">
        <f aca="false">(H14-G14)*1</f>
        <v>0</v>
      </c>
      <c r="I77" s="74" t="n">
        <f aca="false">12*I14</f>
        <v>85560.48</v>
      </c>
      <c r="J77" s="74" t="n">
        <f aca="false">(J14-I14)*11</f>
        <v>0</v>
      </c>
      <c r="K77" s="74" t="n">
        <f aca="false">(K14-J14)*10</f>
        <v>0</v>
      </c>
      <c r="L77" s="74" t="n">
        <f aca="false">(L14-K14)*9</f>
        <v>0</v>
      </c>
      <c r="M77" s="74" t="n">
        <f aca="false">(M14-L14)*8</f>
        <v>0</v>
      </c>
      <c r="N77" s="74" t="n">
        <f aca="false">(N14-M14)*7</f>
        <v>0</v>
      </c>
      <c r="O77" s="74" t="n">
        <f aca="false">(O14-N14)*6</f>
        <v>0</v>
      </c>
      <c r="P77" s="74" t="n">
        <f aca="false">(P14-O14)*5</f>
        <v>0</v>
      </c>
      <c r="Q77" s="74" t="n">
        <f aca="false">(Q14-P14)*4</f>
        <v>0</v>
      </c>
      <c r="R77" s="74" t="n">
        <f aca="false">(R14-Q14)*3</f>
        <v>0</v>
      </c>
      <c r="S77" s="74" t="n">
        <f aca="false">(S14-R14)*2</f>
        <v>0</v>
      </c>
      <c r="T77" s="74" t="n">
        <f aca="false">(T14-S14)*1</f>
        <v>0</v>
      </c>
      <c r="U77" s="74" t="n">
        <f aca="false">12*U14</f>
        <v>86981.6395728</v>
      </c>
      <c r="V77" s="74" t="n">
        <f aca="false">(V14-U14)*11</f>
        <v>0</v>
      </c>
      <c r="W77" s="74" t="n">
        <f aca="false">(W14-V14)*10</f>
        <v>0</v>
      </c>
      <c r="X77" s="74" t="n">
        <f aca="false">(X14-W14)*9</f>
        <v>0</v>
      </c>
      <c r="Y77" s="74" t="n">
        <f aca="false">(Y14-X14)*8</f>
        <v>0</v>
      </c>
      <c r="Z77" s="74" t="n">
        <f aca="false">(Z14-Y14)*7</f>
        <v>0</v>
      </c>
      <c r="AA77" s="74" t="n">
        <f aca="false">(AA14-Z14)*6</f>
        <v>0</v>
      </c>
      <c r="AB77" s="74" t="n">
        <f aca="false">(AB14-AA14)*5</f>
        <v>0</v>
      </c>
    </row>
    <row r="78" customFormat="false" ht="15" hidden="false" customHeight="false" outlineLevel="0" collapsed="false">
      <c r="A78" s="28" t="s">
        <v>1007</v>
      </c>
      <c r="B78" s="63"/>
      <c r="C78" s="64" t="n">
        <f aca="false">SUM(E78:P78)</f>
        <v>95158.8126216</v>
      </c>
      <c r="D78" s="64" t="n">
        <f aca="false">SUM(Q78:AB78)</f>
        <v>94681.1153822396</v>
      </c>
      <c r="E78" s="65" t="n">
        <f aca="false">(E15-Account_Register!$H$13)*8</f>
        <v>0</v>
      </c>
      <c r="F78" s="74" t="n">
        <f aca="false">(F15-E15)*7</f>
        <v>0</v>
      </c>
      <c r="G78" s="74" t="n">
        <f aca="false">(G15-F15)*6</f>
        <v>0</v>
      </c>
      <c r="H78" s="74" t="n">
        <f aca="false">(H15-G15)*5</f>
        <v>0</v>
      </c>
      <c r="I78" s="74" t="n">
        <f aca="false">(I15-H15)*4</f>
        <v>0</v>
      </c>
      <c r="J78" s="74" t="n">
        <f aca="false">(J15-I15)*3</f>
        <v>0</v>
      </c>
      <c r="K78" s="74" t="n">
        <f aca="false">(K15-J15)*2</f>
        <v>0</v>
      </c>
      <c r="L78" s="74" t="n">
        <f aca="false">(L15-K15)*1</f>
        <v>0</v>
      </c>
      <c r="M78" s="74" t="n">
        <f aca="false">12*M15</f>
        <v>95158.8126216</v>
      </c>
      <c r="N78" s="74" t="n">
        <f aca="false">(N15-M15)*11</f>
        <v>0</v>
      </c>
      <c r="O78" s="74" t="n">
        <f aca="false">(O15-N15)*10</f>
        <v>0</v>
      </c>
      <c r="P78" s="74" t="n">
        <f aca="false">(P15-O15)*9</f>
        <v>0</v>
      </c>
      <c r="Q78" s="74" t="n">
        <f aca="false">(Q15-P15)*8</f>
        <v>0</v>
      </c>
      <c r="R78" s="74" t="n">
        <f aca="false">(R15-Q15)*7</f>
        <v>0</v>
      </c>
      <c r="S78" s="74" t="n">
        <f aca="false">(S15-R15)*6</f>
        <v>0</v>
      </c>
      <c r="T78" s="74" t="n">
        <f aca="false">(T15-S15)*5</f>
        <v>0</v>
      </c>
      <c r="U78" s="74" t="n">
        <f aca="false">(U15-T15)*4</f>
        <v>0</v>
      </c>
      <c r="V78" s="74" t="n">
        <f aca="false">(V15-U15)*3</f>
        <v>0</v>
      </c>
      <c r="W78" s="74" t="n">
        <f aca="false">(W15-V15)*2</f>
        <v>0</v>
      </c>
      <c r="X78" s="74" t="n">
        <f aca="false">(X15-W15)*1</f>
        <v>0</v>
      </c>
      <c r="Y78" s="74" t="n">
        <f aca="false">12*Y15</f>
        <v>94681.1153822396</v>
      </c>
      <c r="Z78" s="74" t="n">
        <f aca="false">(Z15-Y15)*11</f>
        <v>0</v>
      </c>
      <c r="AA78" s="74" t="n">
        <f aca="false">(AA15-Z15)*10</f>
        <v>0</v>
      </c>
      <c r="AB78" s="74" t="n">
        <f aca="false">(AB15-AA15)*9</f>
        <v>0</v>
      </c>
    </row>
    <row r="79" customFormat="false" ht="15" hidden="false" customHeight="false" outlineLevel="0" collapsed="false">
      <c r="A79" s="28" t="s">
        <v>1008</v>
      </c>
      <c r="B79" s="63"/>
      <c r="C79" s="64" t="n">
        <f aca="false">SUM(E79:P79)</f>
        <v>77009.7848832</v>
      </c>
      <c r="D79" s="64" t="n">
        <f aca="false">SUM(Q79:AB79)</f>
        <v>78368.2374885397</v>
      </c>
      <c r="E79" s="65" t="n">
        <f aca="false">(E16-Account_Register!$H$14)*10</f>
        <v>0</v>
      </c>
      <c r="F79" s="74" t="n">
        <f aca="false">(F16-E16)*9</f>
        <v>0</v>
      </c>
      <c r="G79" s="74" t="n">
        <f aca="false">(G16-F16)*8</f>
        <v>0</v>
      </c>
      <c r="H79" s="74" t="n">
        <f aca="false">(H16-G16)*7</f>
        <v>0</v>
      </c>
      <c r="I79" s="74" t="n">
        <f aca="false">(I16-H16)*6</f>
        <v>0</v>
      </c>
      <c r="J79" s="74" t="n">
        <f aca="false">(J16-I16)*5</f>
        <v>0</v>
      </c>
      <c r="K79" s="74" t="n">
        <f aca="false">(K16-J16)*4</f>
        <v>0</v>
      </c>
      <c r="L79" s="74" t="n">
        <f aca="false">(L16-K16)*3</f>
        <v>0</v>
      </c>
      <c r="M79" s="74" t="n">
        <f aca="false">(M16-L16)*2</f>
        <v>0</v>
      </c>
      <c r="N79" s="74" t="n">
        <f aca="false">(N16-M16)*1</f>
        <v>0</v>
      </c>
      <c r="O79" s="74" t="n">
        <f aca="false">12*O16</f>
        <v>77009.7848832</v>
      </c>
      <c r="P79" s="74" t="n">
        <f aca="false">(P16-O16)*11</f>
        <v>0</v>
      </c>
      <c r="Q79" s="74" t="n">
        <f aca="false">(Q16-P16)*10</f>
        <v>0</v>
      </c>
      <c r="R79" s="74" t="n">
        <f aca="false">(R16-Q16)*9</f>
        <v>0</v>
      </c>
      <c r="S79" s="74" t="n">
        <f aca="false">(S16-R16)*8</f>
        <v>0</v>
      </c>
      <c r="T79" s="74" t="n">
        <f aca="false">(T16-S16)*7</f>
        <v>0</v>
      </c>
      <c r="U79" s="74" t="n">
        <f aca="false">(U16-T16)*6</f>
        <v>0</v>
      </c>
      <c r="V79" s="74" t="n">
        <f aca="false">(V16-U16)*5</f>
        <v>0</v>
      </c>
      <c r="W79" s="74" t="n">
        <f aca="false">(W16-V16)*4</f>
        <v>0</v>
      </c>
      <c r="X79" s="74" t="n">
        <f aca="false">(X16-W16)*3</f>
        <v>0</v>
      </c>
      <c r="Y79" s="74" t="n">
        <f aca="false">(Y16-X16)*2</f>
        <v>0</v>
      </c>
      <c r="Z79" s="74" t="n">
        <f aca="false">(Z16-Y16)*1</f>
        <v>0</v>
      </c>
      <c r="AA79" s="74" t="n">
        <f aca="false">12*AA16</f>
        <v>78368.2374885397</v>
      </c>
      <c r="AB79" s="74" t="n">
        <f aca="false">(AB16-AA16)*11</f>
        <v>0</v>
      </c>
    </row>
    <row r="80" customFormat="false" ht="15" hidden="false" customHeight="false" outlineLevel="0" collapsed="false">
      <c r="A80" s="28" t="s">
        <v>1009</v>
      </c>
      <c r="B80" s="63"/>
      <c r="C80" s="64" t="n">
        <f aca="false">SUM(E80:P80)</f>
        <v>86559.36</v>
      </c>
      <c r="D80" s="64" t="n">
        <f aca="false">SUM(Q80:AB80)</f>
        <v>91244.956698</v>
      </c>
      <c r="E80" s="74" t="n">
        <f aca="false">12*E17</f>
        <v>83409.36</v>
      </c>
      <c r="F80" s="74" t="n">
        <f aca="false">(F17-E17)*11</f>
        <v>0</v>
      </c>
      <c r="G80" s="74" t="n">
        <f aca="false">(G17-F17)*10</f>
        <v>0</v>
      </c>
      <c r="H80" s="74" t="n">
        <f aca="false">(H17-G17)*9</f>
        <v>0</v>
      </c>
      <c r="I80" s="74" t="n">
        <f aca="false">(I17-H17)*8</f>
        <v>0</v>
      </c>
      <c r="J80" s="74" t="n">
        <f aca="false">(J17-I17)*7</f>
        <v>3150</v>
      </c>
      <c r="K80" s="74" t="n">
        <f aca="false">(K17-J17)*6</f>
        <v>0</v>
      </c>
      <c r="L80" s="74" t="n">
        <f aca="false">(L17-K17)*5</f>
        <v>0</v>
      </c>
      <c r="M80" s="74" t="n">
        <f aca="false">(M17-L17)*4</f>
        <v>0</v>
      </c>
      <c r="N80" s="74" t="n">
        <f aca="false">(N17-M17)*3</f>
        <v>0</v>
      </c>
      <c r="O80" s="74" t="n">
        <f aca="false">(O17-N17)*2</f>
        <v>0</v>
      </c>
      <c r="P80" s="74" t="n">
        <f aca="false">(P17-O17)*1</f>
        <v>0</v>
      </c>
      <c r="Q80" s="74" t="n">
        <f aca="false">12*Q17</f>
        <v>91244.956698</v>
      </c>
      <c r="R80" s="74" t="n">
        <f aca="false">(R17-Q17)*11</f>
        <v>0</v>
      </c>
      <c r="S80" s="74" t="n">
        <f aca="false">(S17-R17)*10</f>
        <v>0</v>
      </c>
      <c r="T80" s="74" t="n">
        <f aca="false">(T17-S17)*9</f>
        <v>0</v>
      </c>
      <c r="U80" s="74" t="n">
        <f aca="false">(U17-T17)*8</f>
        <v>0</v>
      </c>
      <c r="V80" s="74" t="n">
        <f aca="false">(V17-U17)*7</f>
        <v>0</v>
      </c>
      <c r="W80" s="74" t="n">
        <f aca="false">(W17-V17)*6</f>
        <v>0</v>
      </c>
      <c r="X80" s="74" t="n">
        <f aca="false">(X17-W17)*5</f>
        <v>0</v>
      </c>
      <c r="Y80" s="74" t="n">
        <f aca="false">(Y17-X17)*4</f>
        <v>0</v>
      </c>
      <c r="Z80" s="74" t="n">
        <f aca="false">(Z17-Y17)*3</f>
        <v>0</v>
      </c>
      <c r="AA80" s="74" t="n">
        <f aca="false">(AA17-Z17)*2</f>
        <v>0</v>
      </c>
      <c r="AB80" s="74" t="n">
        <f aca="false">(AB17-AA17)*1</f>
        <v>0</v>
      </c>
    </row>
    <row r="81" customFormat="false" ht="15" hidden="false" customHeight="false" outlineLevel="0" collapsed="false">
      <c r="A81" s="28" t="s">
        <v>1010</v>
      </c>
      <c r="B81" s="63"/>
      <c r="C81" s="64" t="n">
        <f aca="false">SUM(E81:P81)</f>
        <v>58269.36</v>
      </c>
      <c r="D81" s="64" t="n">
        <f aca="false">SUM(Q81:AB81)</f>
        <v>58048.86874176</v>
      </c>
      <c r="E81" s="65" t="n">
        <f aca="false">(E18-Account_Register!$H$16)*2</f>
        <v>0</v>
      </c>
      <c r="F81" s="74" t="n">
        <f aca="false">(F18-E18)*1</f>
        <v>0</v>
      </c>
      <c r="G81" s="74" t="n">
        <f aca="false">12*G18</f>
        <v>58269.36</v>
      </c>
      <c r="H81" s="74" t="n">
        <f aca="false">(H18-G18)*11</f>
        <v>0</v>
      </c>
      <c r="I81" s="74" t="n">
        <f aca="false">(I18-H18)*10</f>
        <v>0</v>
      </c>
      <c r="J81" s="74" t="n">
        <f aca="false">(J18-I18)*9</f>
        <v>0</v>
      </c>
      <c r="K81" s="74" t="n">
        <f aca="false">(K18-J18)*8</f>
        <v>0</v>
      </c>
      <c r="L81" s="74" t="n">
        <f aca="false">(L18-K18)*7</f>
        <v>0</v>
      </c>
      <c r="M81" s="74" t="n">
        <f aca="false">(M18-L18)*6</f>
        <v>0</v>
      </c>
      <c r="N81" s="74" t="n">
        <f aca="false">(N18-M18)*5</f>
        <v>0</v>
      </c>
      <c r="O81" s="74" t="n">
        <f aca="false">(O18-N18)*4</f>
        <v>0</v>
      </c>
      <c r="P81" s="74" t="n">
        <f aca="false">(P18-O18)*3</f>
        <v>0</v>
      </c>
      <c r="Q81" s="74" t="n">
        <f aca="false">(Q18-P18)*2</f>
        <v>0</v>
      </c>
      <c r="R81" s="74" t="n">
        <f aca="false">(R18-Q18)*1</f>
        <v>0</v>
      </c>
      <c r="S81" s="74" t="n">
        <f aca="false">12*S18</f>
        <v>58048.86874176</v>
      </c>
      <c r="T81" s="74" t="n">
        <f aca="false">(T18-S18)*11</f>
        <v>0</v>
      </c>
      <c r="U81" s="74" t="n">
        <f aca="false">(U18-T18)*10</f>
        <v>0</v>
      </c>
      <c r="V81" s="74" t="n">
        <f aca="false">(V18-U18)*9</f>
        <v>0</v>
      </c>
      <c r="W81" s="74" t="n">
        <f aca="false">(W18-V18)*8</f>
        <v>0</v>
      </c>
      <c r="X81" s="74" t="n">
        <f aca="false">(X18-W18)*7</f>
        <v>0</v>
      </c>
      <c r="Y81" s="74" t="n">
        <f aca="false">(Y18-X18)*6</f>
        <v>0</v>
      </c>
      <c r="Z81" s="74" t="n">
        <f aca="false">(Z18-Y18)*5</f>
        <v>0</v>
      </c>
      <c r="AA81" s="74" t="n">
        <f aca="false">(AA18-Z18)*4</f>
        <v>0</v>
      </c>
      <c r="AB81" s="74" t="n">
        <f aca="false">(AB18-AA18)*3</f>
        <v>0</v>
      </c>
    </row>
    <row r="82" customFormat="false" ht="15" hidden="false" customHeight="false" outlineLevel="0" collapsed="false">
      <c r="A82" s="28" t="s">
        <v>1011</v>
      </c>
      <c r="B82" s="63"/>
      <c r="C82" s="64" t="n">
        <f aca="false">SUM(E82:P82)</f>
        <v>64348.2</v>
      </c>
      <c r="D82" s="64" t="n">
        <f aca="false">SUM(Q82:AB82)</f>
        <v>64794.0043296</v>
      </c>
      <c r="E82" s="65" t="n">
        <f aca="false">(E19-Account_Register!$H$17)*3</f>
        <v>0</v>
      </c>
      <c r="F82" s="74" t="n">
        <f aca="false">(F19-E19)*2</f>
        <v>0</v>
      </c>
      <c r="G82" s="74" t="n">
        <f aca="false">(G19-F19)*1</f>
        <v>0</v>
      </c>
      <c r="H82" s="74" t="n">
        <f aca="false">12*H19</f>
        <v>64348.2</v>
      </c>
      <c r="I82" s="74" t="n">
        <f aca="false">(I19-H19)*11</f>
        <v>0</v>
      </c>
      <c r="J82" s="74" t="n">
        <f aca="false">(J19-I19)*10</f>
        <v>0</v>
      </c>
      <c r="K82" s="74" t="n">
        <f aca="false">(K19-J19)*9</f>
        <v>0</v>
      </c>
      <c r="L82" s="74" t="n">
        <f aca="false">(L19-K19)*8</f>
        <v>0</v>
      </c>
      <c r="M82" s="74" t="n">
        <f aca="false">(M19-L19)*7</f>
        <v>0</v>
      </c>
      <c r="N82" s="74" t="n">
        <f aca="false">(N19-M19)*6</f>
        <v>0</v>
      </c>
      <c r="O82" s="74" t="n">
        <f aca="false">(O19-N19)*5</f>
        <v>0</v>
      </c>
      <c r="P82" s="74" t="n">
        <f aca="false">(P19-O19)*4</f>
        <v>0</v>
      </c>
      <c r="Q82" s="74" t="n">
        <f aca="false">(Q19-P19)*3</f>
        <v>0</v>
      </c>
      <c r="R82" s="74" t="n">
        <f aca="false">(R19-Q19)*2</f>
        <v>0</v>
      </c>
      <c r="S82" s="74" t="n">
        <f aca="false">(S19-R19)*1</f>
        <v>0</v>
      </c>
      <c r="T82" s="74" t="n">
        <f aca="false">12*T19</f>
        <v>64794.0043296</v>
      </c>
      <c r="U82" s="74" t="n">
        <f aca="false">(U19-T19)*11</f>
        <v>0</v>
      </c>
      <c r="V82" s="74" t="n">
        <f aca="false">(V19-U19)*10</f>
        <v>0</v>
      </c>
      <c r="W82" s="74" t="n">
        <f aca="false">(W19-V19)*9</f>
        <v>0</v>
      </c>
      <c r="X82" s="74" t="n">
        <f aca="false">(X19-W19)*8</f>
        <v>0</v>
      </c>
      <c r="Y82" s="74" t="n">
        <f aca="false">(Y19-X19)*7</f>
        <v>0</v>
      </c>
      <c r="Z82" s="74" t="n">
        <f aca="false">(Z19-Y19)*6</f>
        <v>0</v>
      </c>
      <c r="AA82" s="74" t="n">
        <f aca="false">(AA19-Z19)*5</f>
        <v>0</v>
      </c>
      <c r="AB82" s="74" t="n">
        <f aca="false">(AB19-AA19)*4</f>
        <v>0</v>
      </c>
    </row>
    <row r="83" customFormat="false" ht="15" hidden="false" customHeight="false" outlineLevel="0" collapsed="false">
      <c r="A83" s="28" t="s">
        <v>1012</v>
      </c>
      <c r="B83" s="63"/>
      <c r="C83" s="64" t="n">
        <f aca="false">SUM(E83:P83)</f>
        <v>50135.16</v>
      </c>
      <c r="D83" s="64" t="n">
        <f aca="false">SUM(Q83:AB83)</f>
        <v>48933.31994448</v>
      </c>
      <c r="E83" s="65" t="n">
        <f aca="false">(E20-Account_Register!$H$18)*5</f>
        <v>0</v>
      </c>
      <c r="F83" s="74" t="n">
        <f aca="false">(F20-E20)*4</f>
        <v>0</v>
      </c>
      <c r="G83" s="74" t="n">
        <f aca="false">(G20-F20)*3</f>
        <v>0</v>
      </c>
      <c r="H83" s="74" t="n">
        <f aca="false">(H20-G20)*2</f>
        <v>0</v>
      </c>
      <c r="I83" s="74" t="n">
        <f aca="false">(I20-H20)*1</f>
        <v>0</v>
      </c>
      <c r="J83" s="74" t="n">
        <f aca="false">12*J20</f>
        <v>50135.16</v>
      </c>
      <c r="K83" s="74" t="n">
        <f aca="false">(K20-J20)*11</f>
        <v>0</v>
      </c>
      <c r="L83" s="74" t="n">
        <f aca="false">(L20-K20)*10</f>
        <v>0</v>
      </c>
      <c r="M83" s="74" t="n">
        <f aca="false">(M20-L20)*9</f>
        <v>0</v>
      </c>
      <c r="N83" s="74" t="n">
        <f aca="false">(N20-M20)*8</f>
        <v>0</v>
      </c>
      <c r="O83" s="74" t="n">
        <f aca="false">(O20-N20)*7</f>
        <v>0</v>
      </c>
      <c r="P83" s="74" t="n">
        <f aca="false">(P20-O20)*6</f>
        <v>0</v>
      </c>
      <c r="Q83" s="74" t="n">
        <f aca="false">(Q20-P20)*5</f>
        <v>0</v>
      </c>
      <c r="R83" s="74" t="n">
        <f aca="false">(R20-Q20)*4</f>
        <v>0</v>
      </c>
      <c r="S83" s="74" t="n">
        <f aca="false">(S20-R20)*3</f>
        <v>0</v>
      </c>
      <c r="T83" s="74" t="n">
        <f aca="false">(T20-S20)*2</f>
        <v>0</v>
      </c>
      <c r="U83" s="74" t="n">
        <f aca="false">(U20-T20)*1</f>
        <v>0</v>
      </c>
      <c r="V83" s="74" t="n">
        <f aca="false">12*V20</f>
        <v>48933.31994448</v>
      </c>
      <c r="W83" s="74" t="n">
        <f aca="false">(W20-V20)*11</f>
        <v>0</v>
      </c>
      <c r="X83" s="74" t="n">
        <f aca="false">(X20-W20)*10</f>
        <v>0</v>
      </c>
      <c r="Y83" s="74" t="n">
        <f aca="false">(Y20-X20)*9</f>
        <v>0</v>
      </c>
      <c r="Z83" s="74" t="n">
        <f aca="false">(Z20-Y20)*8</f>
        <v>0</v>
      </c>
      <c r="AA83" s="74" t="n">
        <f aca="false">(AA20-Z20)*7</f>
        <v>0</v>
      </c>
      <c r="AB83" s="74" t="n">
        <f aca="false">(AB20-AA20)*6</f>
        <v>0</v>
      </c>
    </row>
    <row r="84" customFormat="false" ht="15" hidden="false" customHeight="false" outlineLevel="0" collapsed="false">
      <c r="A84" s="28" t="s">
        <v>1013</v>
      </c>
      <c r="B84" s="63"/>
      <c r="C84" s="64" t="n">
        <f aca="false">SUM(E84:P84)</f>
        <v>70653.47947008</v>
      </c>
      <c r="D84" s="64" t="n">
        <f aca="false">SUM(Q84:AB84)</f>
        <v>71142.9667758487</v>
      </c>
      <c r="E84" s="65" t="n">
        <f aca="false">(E21-Account_Register!$H$19)*8</f>
        <v>0</v>
      </c>
      <c r="F84" s="74" t="n">
        <f aca="false">(F21-E21)*7</f>
        <v>0</v>
      </c>
      <c r="G84" s="74" t="n">
        <f aca="false">(G21-F21)*6</f>
        <v>0</v>
      </c>
      <c r="H84" s="74" t="n">
        <f aca="false">(H21-G21)*5</f>
        <v>0</v>
      </c>
      <c r="I84" s="74" t="n">
        <f aca="false">(I21-H21)*4</f>
        <v>0</v>
      </c>
      <c r="J84" s="74" t="n">
        <f aca="false">(J21-I21)*3</f>
        <v>0</v>
      </c>
      <c r="K84" s="74" t="n">
        <f aca="false">(K21-J21)*2</f>
        <v>0</v>
      </c>
      <c r="L84" s="74" t="n">
        <f aca="false">(L21-K21)*1</f>
        <v>0</v>
      </c>
      <c r="M84" s="74" t="n">
        <f aca="false">12*M21</f>
        <v>70653.47947008</v>
      </c>
      <c r="N84" s="74" t="n">
        <f aca="false">(N21-M21)*11</f>
        <v>0</v>
      </c>
      <c r="O84" s="74" t="n">
        <f aca="false">(O21-N21)*10</f>
        <v>0</v>
      </c>
      <c r="P84" s="74" t="n">
        <f aca="false">(P21-O21)*9</f>
        <v>0</v>
      </c>
      <c r="Q84" s="74" t="n">
        <f aca="false">(Q21-P21)*8</f>
        <v>0</v>
      </c>
      <c r="R84" s="74" t="n">
        <f aca="false">(R21-Q21)*7</f>
        <v>0</v>
      </c>
      <c r="S84" s="74" t="n">
        <f aca="false">(S21-R21)*6</f>
        <v>0</v>
      </c>
      <c r="T84" s="74" t="n">
        <f aca="false">(T21-S21)*5</f>
        <v>0</v>
      </c>
      <c r="U84" s="74" t="n">
        <f aca="false">(U21-T21)*4</f>
        <v>0</v>
      </c>
      <c r="V84" s="74" t="n">
        <f aca="false">(V21-U21)*3</f>
        <v>0</v>
      </c>
      <c r="W84" s="74" t="n">
        <f aca="false">(W21-V21)*2</f>
        <v>0</v>
      </c>
      <c r="X84" s="74" t="n">
        <f aca="false">(X21-W21)*1</f>
        <v>0</v>
      </c>
      <c r="Y84" s="74" t="n">
        <f aca="false">12*Y21</f>
        <v>71142.9667758487</v>
      </c>
      <c r="Z84" s="74" t="n">
        <f aca="false">(Z21-Y21)*11</f>
        <v>0</v>
      </c>
      <c r="AA84" s="74" t="n">
        <f aca="false">(AA21-Z21)*10</f>
        <v>0</v>
      </c>
      <c r="AB84" s="74" t="n">
        <f aca="false">(AB21-AA21)*9</f>
        <v>0</v>
      </c>
    </row>
    <row r="85" customFormat="false" ht="15" hidden="false" customHeight="false" outlineLevel="0" collapsed="false">
      <c r="A85" s="28" t="s">
        <v>1014</v>
      </c>
      <c r="B85" s="63"/>
      <c r="C85" s="64" t="n">
        <f aca="false">SUM(E85:P85)</f>
        <v>78625.2663</v>
      </c>
      <c r="D85" s="64" t="n">
        <f aca="false">SUM(Q85:AB85)</f>
        <v>76529.902953105</v>
      </c>
      <c r="E85" s="65" t="n">
        <f aca="false">(E22-Account_Register!$H$20)*10</f>
        <v>0</v>
      </c>
      <c r="F85" s="74" t="n">
        <f aca="false">(F22-E22)*9</f>
        <v>0</v>
      </c>
      <c r="G85" s="74" t="n">
        <f aca="false">(G22-F22)*8</f>
        <v>0</v>
      </c>
      <c r="H85" s="74" t="n">
        <f aca="false">(H22-G22)*7</f>
        <v>0</v>
      </c>
      <c r="I85" s="74" t="n">
        <f aca="false">(I22-H22)*6</f>
        <v>0</v>
      </c>
      <c r="J85" s="74" t="n">
        <f aca="false">(J22-I22)*5</f>
        <v>0</v>
      </c>
      <c r="K85" s="74" t="n">
        <f aca="false">(K22-J22)*4</f>
        <v>0</v>
      </c>
      <c r="L85" s="74" t="n">
        <f aca="false">(L22-K22)*3</f>
        <v>0</v>
      </c>
      <c r="M85" s="74" t="n">
        <f aca="false">(M22-L22)*2</f>
        <v>0</v>
      </c>
      <c r="N85" s="74" t="n">
        <f aca="false">(N22-M22)*1</f>
        <v>0</v>
      </c>
      <c r="O85" s="74" t="n">
        <f aca="false">12*O22</f>
        <v>78625.2663</v>
      </c>
      <c r="P85" s="74" t="n">
        <f aca="false">(P22-O22)*11</f>
        <v>0</v>
      </c>
      <c r="Q85" s="74" t="n">
        <f aca="false">(Q22-P22)*10</f>
        <v>0</v>
      </c>
      <c r="R85" s="74" t="n">
        <f aca="false">(R22-Q22)*9</f>
        <v>0</v>
      </c>
      <c r="S85" s="74" t="n">
        <f aca="false">(S22-R22)*8</f>
        <v>0</v>
      </c>
      <c r="T85" s="74" t="n">
        <f aca="false">(T22-S22)*7</f>
        <v>0</v>
      </c>
      <c r="U85" s="74" t="n">
        <f aca="false">(U22-T22)*6</f>
        <v>0</v>
      </c>
      <c r="V85" s="74" t="n">
        <f aca="false">(V22-U22)*5</f>
        <v>0</v>
      </c>
      <c r="W85" s="74" t="n">
        <f aca="false">(W22-V22)*4</f>
        <v>0</v>
      </c>
      <c r="X85" s="74" t="n">
        <f aca="false">(X22-W22)*3</f>
        <v>0</v>
      </c>
      <c r="Y85" s="74" t="n">
        <f aca="false">(Y22-X22)*2</f>
        <v>0</v>
      </c>
      <c r="Z85" s="74" t="n">
        <f aca="false">(Z22-Y22)*1</f>
        <v>0</v>
      </c>
      <c r="AA85" s="74" t="n">
        <f aca="false">12*AA22</f>
        <v>76529.902953105</v>
      </c>
      <c r="AB85" s="74" t="n">
        <f aca="false">(AB22-AA22)*11</f>
        <v>0</v>
      </c>
    </row>
    <row r="86" customFormat="false" ht="15" hidden="false" customHeight="false" outlineLevel="0" collapsed="false">
      <c r="A86" s="28" t="s">
        <v>1015</v>
      </c>
      <c r="B86" s="63"/>
      <c r="C86" s="64" t="n">
        <f aca="false">SUM(E86:P86)</f>
        <v>101521.96</v>
      </c>
      <c r="D86" s="64" t="n">
        <f aca="false">SUM(Q86:AB86)</f>
        <v>105744.594753</v>
      </c>
      <c r="E86" s="74" t="n">
        <f aca="false">12*E23</f>
        <v>94521.96</v>
      </c>
      <c r="F86" s="74" t="n">
        <f aca="false">(F23-E23)*11</f>
        <v>0</v>
      </c>
      <c r="G86" s="74" t="n">
        <f aca="false">(G23-F23)*10</f>
        <v>7000</v>
      </c>
      <c r="H86" s="74" t="n">
        <f aca="false">(H23-G23)*9</f>
        <v>0</v>
      </c>
      <c r="I86" s="74" t="n">
        <f aca="false">(I23-H23)*8</f>
        <v>0</v>
      </c>
      <c r="J86" s="74" t="n">
        <f aca="false">(J23-I23)*7</f>
        <v>0</v>
      </c>
      <c r="K86" s="74" t="n">
        <f aca="false">(K23-J23)*6</f>
        <v>0</v>
      </c>
      <c r="L86" s="74" t="n">
        <f aca="false">(L23-K23)*5</f>
        <v>0</v>
      </c>
      <c r="M86" s="74" t="n">
        <f aca="false">(M23-L23)*4</f>
        <v>0</v>
      </c>
      <c r="N86" s="74" t="n">
        <f aca="false">(N23-M23)*3</f>
        <v>0</v>
      </c>
      <c r="O86" s="74" t="n">
        <f aca="false">(O23-N23)*2</f>
        <v>0</v>
      </c>
      <c r="P86" s="74" t="n">
        <f aca="false">(P23-O23)*1</f>
        <v>0</v>
      </c>
      <c r="Q86" s="74" t="n">
        <f aca="false">12*Q23</f>
        <v>105744.594753</v>
      </c>
      <c r="R86" s="74" t="n">
        <f aca="false">(R23-Q23)*11</f>
        <v>0</v>
      </c>
      <c r="S86" s="74" t="n">
        <f aca="false">(S23-R23)*10</f>
        <v>0</v>
      </c>
      <c r="T86" s="74" t="n">
        <f aca="false">(T23-S23)*9</f>
        <v>0</v>
      </c>
      <c r="U86" s="74" t="n">
        <f aca="false">(U23-T23)*8</f>
        <v>0</v>
      </c>
      <c r="V86" s="74" t="n">
        <f aca="false">(V23-U23)*7</f>
        <v>0</v>
      </c>
      <c r="W86" s="74" t="n">
        <f aca="false">(W23-V23)*6</f>
        <v>0</v>
      </c>
      <c r="X86" s="74" t="n">
        <f aca="false">(X23-W23)*5</f>
        <v>0</v>
      </c>
      <c r="Y86" s="74" t="n">
        <f aca="false">(Y23-X23)*4</f>
        <v>0</v>
      </c>
      <c r="Z86" s="74" t="n">
        <f aca="false">(Z23-Y23)*3</f>
        <v>0</v>
      </c>
      <c r="AA86" s="74" t="n">
        <f aca="false">(AA23-Z23)*2</f>
        <v>0</v>
      </c>
      <c r="AB86" s="74" t="n">
        <f aca="false">(AB23-AA23)*1</f>
        <v>0</v>
      </c>
    </row>
    <row r="87" customFormat="false" ht="15" hidden="false" customHeight="false" outlineLevel="0" collapsed="false">
      <c r="A87" s="28" t="s">
        <v>1016</v>
      </c>
      <c r="B87" s="63"/>
      <c r="C87" s="64" t="n">
        <f aca="false">SUM(E87:P87)</f>
        <v>64753.44</v>
      </c>
      <c r="D87" s="64" t="n">
        <f aca="false">SUM(Q87:AB87)</f>
        <v>64508.41298304</v>
      </c>
      <c r="E87" s="65" t="n">
        <f aca="false">(E24-Account_Register!$H$22)*2</f>
        <v>0</v>
      </c>
      <c r="F87" s="74" t="n">
        <f aca="false">(F24-E24)*1</f>
        <v>0</v>
      </c>
      <c r="G87" s="74" t="n">
        <f aca="false">12*G24</f>
        <v>64753.44</v>
      </c>
      <c r="H87" s="74" t="n">
        <f aca="false">(H24-G24)*11</f>
        <v>0</v>
      </c>
      <c r="I87" s="74" t="n">
        <f aca="false">(I24-H24)*10</f>
        <v>0</v>
      </c>
      <c r="J87" s="74" t="n">
        <f aca="false">(J24-I24)*9</f>
        <v>0</v>
      </c>
      <c r="K87" s="74" t="n">
        <f aca="false">(K24-J24)*8</f>
        <v>0</v>
      </c>
      <c r="L87" s="74" t="n">
        <f aca="false">(L24-K24)*7</f>
        <v>0</v>
      </c>
      <c r="M87" s="74" t="n">
        <f aca="false">(M24-L24)*6</f>
        <v>0</v>
      </c>
      <c r="N87" s="74" t="n">
        <f aca="false">(N24-M24)*5</f>
        <v>0</v>
      </c>
      <c r="O87" s="74" t="n">
        <f aca="false">(O24-N24)*4</f>
        <v>0</v>
      </c>
      <c r="P87" s="74" t="n">
        <f aca="false">(P24-O24)*3</f>
        <v>0</v>
      </c>
      <c r="Q87" s="74" t="n">
        <f aca="false">(Q24-P24)*2</f>
        <v>0</v>
      </c>
      <c r="R87" s="74" t="n">
        <f aca="false">(R24-Q24)*1</f>
        <v>0</v>
      </c>
      <c r="S87" s="74" t="n">
        <f aca="false">12*S24</f>
        <v>64508.41298304</v>
      </c>
      <c r="T87" s="74" t="n">
        <f aca="false">(T24-S24)*11</f>
        <v>0</v>
      </c>
      <c r="U87" s="74" t="n">
        <f aca="false">(U24-T24)*10</f>
        <v>0</v>
      </c>
      <c r="V87" s="74" t="n">
        <f aca="false">(V24-U24)*9</f>
        <v>0</v>
      </c>
      <c r="W87" s="74" t="n">
        <f aca="false">(W24-V24)*8</f>
        <v>0</v>
      </c>
      <c r="X87" s="74" t="n">
        <f aca="false">(X24-W24)*7</f>
        <v>0</v>
      </c>
      <c r="Y87" s="74" t="n">
        <f aca="false">(Y24-X24)*6</f>
        <v>0</v>
      </c>
      <c r="Z87" s="74" t="n">
        <f aca="false">(Z24-Y24)*5</f>
        <v>0</v>
      </c>
      <c r="AA87" s="74" t="n">
        <f aca="false">(AA24-Z24)*4</f>
        <v>0</v>
      </c>
      <c r="AB87" s="74" t="n">
        <f aca="false">(AB24-AA24)*3</f>
        <v>0</v>
      </c>
    </row>
    <row r="88" customFormat="false" ht="15" hidden="false" customHeight="false" outlineLevel="0" collapsed="false">
      <c r="A88" s="28" t="s">
        <v>1017</v>
      </c>
      <c r="B88" s="63"/>
      <c r="C88" s="64" t="n">
        <f aca="false">SUM(E88:P88)</f>
        <v>56062.44</v>
      </c>
      <c r="D88" s="64" t="n">
        <f aca="false">SUM(Q88:AB88)</f>
        <v>56450.84058432</v>
      </c>
      <c r="E88" s="65" t="n">
        <f aca="false">(E25-Account_Register!$H$23)*4</f>
        <v>0</v>
      </c>
      <c r="F88" s="74" t="n">
        <f aca="false">(F25-E25)*3</f>
        <v>0</v>
      </c>
      <c r="G88" s="74" t="n">
        <f aca="false">(G25-F25)*2</f>
        <v>0</v>
      </c>
      <c r="H88" s="74" t="n">
        <f aca="false">(H25-G25)*1</f>
        <v>0</v>
      </c>
      <c r="I88" s="74" t="n">
        <f aca="false">12*I25</f>
        <v>56062.44</v>
      </c>
      <c r="J88" s="74" t="n">
        <f aca="false">(J25-I25)*11</f>
        <v>0</v>
      </c>
      <c r="K88" s="74" t="n">
        <f aca="false">(K25-J25)*10</f>
        <v>0</v>
      </c>
      <c r="L88" s="74" t="n">
        <f aca="false">(L25-K25)*9</f>
        <v>0</v>
      </c>
      <c r="M88" s="74" t="n">
        <f aca="false">(M25-L25)*8</f>
        <v>0</v>
      </c>
      <c r="N88" s="74" t="n">
        <f aca="false">(N25-M25)*7</f>
        <v>0</v>
      </c>
      <c r="O88" s="74" t="n">
        <f aca="false">(O25-N25)*6</f>
        <v>0</v>
      </c>
      <c r="P88" s="74" t="n">
        <f aca="false">(P25-O25)*5</f>
        <v>0</v>
      </c>
      <c r="Q88" s="74" t="n">
        <f aca="false">(Q25-P25)*4</f>
        <v>0</v>
      </c>
      <c r="R88" s="74" t="n">
        <f aca="false">(R25-Q25)*3</f>
        <v>0</v>
      </c>
      <c r="S88" s="74" t="n">
        <f aca="false">(S25-R25)*2</f>
        <v>0</v>
      </c>
      <c r="T88" s="74" t="n">
        <f aca="false">(T25-S25)*1</f>
        <v>0</v>
      </c>
      <c r="U88" s="74" t="n">
        <f aca="false">12*U25</f>
        <v>56450.84058432</v>
      </c>
      <c r="V88" s="74" t="n">
        <f aca="false">(V25-U25)*11</f>
        <v>0</v>
      </c>
      <c r="W88" s="74" t="n">
        <f aca="false">(W25-V25)*10</f>
        <v>0</v>
      </c>
      <c r="X88" s="74" t="n">
        <f aca="false">(X25-W25)*9</f>
        <v>0</v>
      </c>
      <c r="Y88" s="74" t="n">
        <f aca="false">(Y25-X25)*8</f>
        <v>0</v>
      </c>
      <c r="Z88" s="74" t="n">
        <f aca="false">(Z25-Y25)*7</f>
        <v>0</v>
      </c>
      <c r="AA88" s="74" t="n">
        <f aca="false">(AA25-Z25)*6</f>
        <v>0</v>
      </c>
      <c r="AB88" s="74" t="n">
        <f aca="false">(AB25-AA25)*5</f>
        <v>0</v>
      </c>
    </row>
    <row r="89" customFormat="false" ht="15" hidden="false" customHeight="false" outlineLevel="0" collapsed="false">
      <c r="A89" s="28" t="s">
        <v>1018</v>
      </c>
      <c r="B89" s="63"/>
      <c r="C89" s="64" t="n">
        <f aca="false">SUM(E89:P89)</f>
        <v>62688.72</v>
      </c>
      <c r="D89" s="64" t="n">
        <f aca="false">SUM(Q89:AB89)</f>
        <v>63123.02745216</v>
      </c>
      <c r="E89" s="65" t="n">
        <f aca="false">(E26-Account_Register!$H$24)*6</f>
        <v>0</v>
      </c>
      <c r="F89" s="74" t="n">
        <f aca="false">(F26-E26)*5</f>
        <v>0</v>
      </c>
      <c r="G89" s="74" t="n">
        <f aca="false">(G26-F26)*4</f>
        <v>0</v>
      </c>
      <c r="H89" s="74" t="n">
        <f aca="false">(H26-G26)*3</f>
        <v>0</v>
      </c>
      <c r="I89" s="74" t="n">
        <f aca="false">(I26-H26)*2</f>
        <v>0</v>
      </c>
      <c r="J89" s="74" t="n">
        <f aca="false">(J26-I26)*1</f>
        <v>0</v>
      </c>
      <c r="K89" s="74" t="n">
        <f aca="false">12*K26</f>
        <v>62688.72</v>
      </c>
      <c r="L89" s="74" t="n">
        <f aca="false">(L26-K26)*11</f>
        <v>0</v>
      </c>
      <c r="M89" s="74" t="n">
        <f aca="false">(M26-L26)*10</f>
        <v>0</v>
      </c>
      <c r="N89" s="74" t="n">
        <f aca="false">(N26-M26)*9</f>
        <v>0</v>
      </c>
      <c r="O89" s="74" t="n">
        <f aca="false">(O26-N26)*8</f>
        <v>0</v>
      </c>
      <c r="P89" s="74" t="n">
        <f aca="false">(P26-O26)*7</f>
        <v>0</v>
      </c>
      <c r="Q89" s="74" t="n">
        <f aca="false">(Q26-P26)*6</f>
        <v>0</v>
      </c>
      <c r="R89" s="74" t="n">
        <f aca="false">(R26-Q26)*5</f>
        <v>0</v>
      </c>
      <c r="S89" s="74" t="n">
        <f aca="false">(S26-R26)*4</f>
        <v>0</v>
      </c>
      <c r="T89" s="74" t="n">
        <f aca="false">(T26-S26)*3</f>
        <v>0</v>
      </c>
      <c r="U89" s="74" t="n">
        <f aca="false">(U26-T26)*2</f>
        <v>0</v>
      </c>
      <c r="V89" s="74" t="n">
        <f aca="false">(V26-U26)*1</f>
        <v>0</v>
      </c>
      <c r="W89" s="74" t="n">
        <f aca="false">12*W26</f>
        <v>63123.02745216</v>
      </c>
      <c r="X89" s="74" t="n">
        <f aca="false">(X26-W26)*11</f>
        <v>0</v>
      </c>
      <c r="Y89" s="74" t="n">
        <f aca="false">(Y26-X26)*10</f>
        <v>0</v>
      </c>
      <c r="Z89" s="74" t="n">
        <f aca="false">(Z26-Y26)*9</f>
        <v>0</v>
      </c>
      <c r="AA89" s="74" t="n">
        <f aca="false">(AA26-Z26)*8</f>
        <v>0</v>
      </c>
      <c r="AB89" s="74" t="n">
        <f aca="false">(AB26-AA26)*7</f>
        <v>0</v>
      </c>
    </row>
    <row r="90" customFormat="false" ht="15" hidden="false" customHeight="false" outlineLevel="0" collapsed="false">
      <c r="A90" s="28" t="s">
        <v>1019</v>
      </c>
      <c r="B90" s="63"/>
      <c r="C90" s="64" t="n">
        <f aca="false">SUM(E90:P90)</f>
        <v>73974.6</v>
      </c>
      <c r="D90" s="64" t="n">
        <f aca="false">SUM(Q90:AB90)</f>
        <v>76003.353405</v>
      </c>
      <c r="E90" s="65" t="n">
        <f aca="false">(E27-Account_Register!$H$25)*8</f>
        <v>0</v>
      </c>
      <c r="F90" s="74" t="n">
        <f aca="false">(F27-E27)*7</f>
        <v>0</v>
      </c>
      <c r="G90" s="74" t="n">
        <f aca="false">(G27-F27)*6</f>
        <v>0</v>
      </c>
      <c r="H90" s="74" t="n">
        <f aca="false">(H27-G27)*5</f>
        <v>0</v>
      </c>
      <c r="I90" s="74" t="n">
        <f aca="false">(I27-H27)*4</f>
        <v>0</v>
      </c>
      <c r="J90" s="74" t="n">
        <f aca="false">(J27-I27)*3</f>
        <v>0</v>
      </c>
      <c r="K90" s="74" t="n">
        <f aca="false">(K27-J27)*2</f>
        <v>0</v>
      </c>
      <c r="L90" s="74" t="n">
        <f aca="false">(L27-K27)*1</f>
        <v>0</v>
      </c>
      <c r="M90" s="74" t="n">
        <f aca="false">12*M27</f>
        <v>73974.6</v>
      </c>
      <c r="N90" s="74" t="n">
        <f aca="false">(N27-M27)*11</f>
        <v>0</v>
      </c>
      <c r="O90" s="74" t="n">
        <f aca="false">(O27-N27)*10</f>
        <v>0</v>
      </c>
      <c r="P90" s="74" t="n">
        <f aca="false">(P27-O27)*9</f>
        <v>0</v>
      </c>
      <c r="Q90" s="74" t="n">
        <f aca="false">(Q27-P27)*8</f>
        <v>0</v>
      </c>
      <c r="R90" s="74" t="n">
        <f aca="false">(R27-Q27)*7</f>
        <v>0</v>
      </c>
      <c r="S90" s="74" t="n">
        <f aca="false">(S27-R27)*6</f>
        <v>0</v>
      </c>
      <c r="T90" s="74" t="n">
        <f aca="false">(T27-S27)*5</f>
        <v>0</v>
      </c>
      <c r="U90" s="74" t="n">
        <f aca="false">(U27-T27)*4</f>
        <v>0</v>
      </c>
      <c r="V90" s="74" t="n">
        <f aca="false">(V27-U27)*3</f>
        <v>0</v>
      </c>
      <c r="W90" s="74" t="n">
        <f aca="false">(W27-V27)*2</f>
        <v>0</v>
      </c>
      <c r="X90" s="74" t="n">
        <f aca="false">(X27-W27)*1</f>
        <v>0</v>
      </c>
      <c r="Y90" s="74" t="n">
        <f aca="false">12*Y27</f>
        <v>76003.353405</v>
      </c>
      <c r="Z90" s="74" t="n">
        <f aca="false">(Z27-Y27)*11</f>
        <v>0</v>
      </c>
      <c r="AA90" s="74" t="n">
        <f aca="false">(AA27-Z27)*10</f>
        <v>0</v>
      </c>
      <c r="AB90" s="74" t="n">
        <f aca="false">(AB27-AA27)*9</f>
        <v>0</v>
      </c>
    </row>
    <row r="91" customFormat="false" ht="15" hidden="false" customHeight="false" outlineLevel="0" collapsed="false">
      <c r="A91" s="28" t="s">
        <v>1020</v>
      </c>
      <c r="B91" s="63"/>
      <c r="C91" s="64" t="n">
        <f aca="false">SUM(E91:P91)</f>
        <v>52510.224</v>
      </c>
      <c r="D91" s="64" t="n">
        <f aca="false">SUM(Q91:AB91)</f>
        <v>53436.50435136</v>
      </c>
      <c r="E91" s="65" t="n">
        <f aca="false">(E28-Account_Register!$H$26)*10</f>
        <v>0</v>
      </c>
      <c r="F91" s="74" t="n">
        <f aca="false">(F28-E28)*9</f>
        <v>0</v>
      </c>
      <c r="G91" s="74" t="n">
        <f aca="false">(G28-F28)*8</f>
        <v>0</v>
      </c>
      <c r="H91" s="74" t="n">
        <f aca="false">(H28-G28)*7</f>
        <v>0</v>
      </c>
      <c r="I91" s="74" t="n">
        <f aca="false">(I28-H28)*6</f>
        <v>0</v>
      </c>
      <c r="J91" s="74" t="n">
        <f aca="false">(J28-I28)*5</f>
        <v>0</v>
      </c>
      <c r="K91" s="74" t="n">
        <f aca="false">(K28-J28)*4</f>
        <v>0</v>
      </c>
      <c r="L91" s="74" t="n">
        <f aca="false">(L28-K28)*3</f>
        <v>0</v>
      </c>
      <c r="M91" s="74" t="n">
        <f aca="false">(M28-L28)*2</f>
        <v>0</v>
      </c>
      <c r="N91" s="74" t="n">
        <f aca="false">(N28-M28)*1</f>
        <v>0</v>
      </c>
      <c r="O91" s="74" t="n">
        <f aca="false">12*O28</f>
        <v>52510.224</v>
      </c>
      <c r="P91" s="74" t="n">
        <f aca="false">(P28-O28)*11</f>
        <v>0</v>
      </c>
      <c r="Q91" s="74" t="n">
        <f aca="false">(Q28-P28)*10</f>
        <v>0</v>
      </c>
      <c r="R91" s="74" t="n">
        <f aca="false">(R28-Q28)*9</f>
        <v>0</v>
      </c>
      <c r="S91" s="74" t="n">
        <f aca="false">(S28-R28)*8</f>
        <v>0</v>
      </c>
      <c r="T91" s="74" t="n">
        <f aca="false">(T28-S28)*7</f>
        <v>0</v>
      </c>
      <c r="U91" s="74" t="n">
        <f aca="false">(U28-T28)*6</f>
        <v>0</v>
      </c>
      <c r="V91" s="74" t="n">
        <f aca="false">(V28-U28)*5</f>
        <v>0</v>
      </c>
      <c r="W91" s="74" t="n">
        <f aca="false">(W28-V28)*4</f>
        <v>0</v>
      </c>
      <c r="X91" s="74" t="n">
        <f aca="false">(X28-W28)*3</f>
        <v>0</v>
      </c>
      <c r="Y91" s="74" t="n">
        <f aca="false">(Y28-X28)*2</f>
        <v>0</v>
      </c>
      <c r="Z91" s="74" t="n">
        <f aca="false">(Z28-Y28)*1</f>
        <v>0</v>
      </c>
      <c r="AA91" s="74" t="n">
        <f aca="false">12*AA28</f>
        <v>53436.50435136</v>
      </c>
      <c r="AB91" s="74" t="n">
        <f aca="false">(AB28-AA28)*11</f>
        <v>0</v>
      </c>
    </row>
    <row r="92" customFormat="false" ht="15" hidden="false" customHeight="false" outlineLevel="0" collapsed="false">
      <c r="A92" s="28" t="s">
        <v>1021</v>
      </c>
      <c r="B92" s="63"/>
      <c r="C92" s="64" t="n">
        <f aca="false">SUM(E92:P92)</f>
        <v>138000</v>
      </c>
      <c r="D92" s="64" t="n">
        <f aca="false">SUM(Q92:AB92)</f>
        <v>141784.65</v>
      </c>
      <c r="E92" s="74" t="n">
        <f aca="false">0</f>
        <v>0</v>
      </c>
      <c r="F92" s="74" t="n">
        <f aca="false">0</f>
        <v>0</v>
      </c>
      <c r="G92" s="74" t="n">
        <f aca="false">0</f>
        <v>0</v>
      </c>
      <c r="H92" s="74" t="n">
        <f aca="false">12*H29</f>
        <v>138000</v>
      </c>
      <c r="I92" s="74" t="n">
        <f aca="false">(I29-H29)*11</f>
        <v>0</v>
      </c>
      <c r="J92" s="74" t="n">
        <f aca="false">(J29-I29)*10</f>
        <v>0</v>
      </c>
      <c r="K92" s="74" t="n">
        <f aca="false">(K29-J29)*9</f>
        <v>0</v>
      </c>
      <c r="L92" s="74" t="n">
        <f aca="false">(L29-K29)*8</f>
        <v>0</v>
      </c>
      <c r="M92" s="74" t="n">
        <f aca="false">(M29-L29)*7</f>
        <v>0</v>
      </c>
      <c r="N92" s="74" t="n">
        <f aca="false">(N29-M29)*6</f>
        <v>0</v>
      </c>
      <c r="O92" s="74" t="n">
        <f aca="false">(O29-N29)*5</f>
        <v>0</v>
      </c>
      <c r="P92" s="74" t="n">
        <f aca="false">(P29-O29)*4</f>
        <v>0</v>
      </c>
      <c r="Q92" s="74" t="n">
        <f aca="false">(Q29-P29)*3</f>
        <v>0</v>
      </c>
      <c r="R92" s="74" t="n">
        <f aca="false">(R29-Q29)*2</f>
        <v>0</v>
      </c>
      <c r="S92" s="74" t="n">
        <f aca="false">(S29-R29)*1</f>
        <v>0</v>
      </c>
      <c r="T92" s="74" t="n">
        <f aca="false">12*T29</f>
        <v>141784.65</v>
      </c>
      <c r="U92" s="74" t="n">
        <f aca="false">(U29-T29)*11</f>
        <v>0</v>
      </c>
      <c r="V92" s="74" t="n">
        <f aca="false">(V29-U29)*10</f>
        <v>0</v>
      </c>
      <c r="W92" s="74" t="n">
        <f aca="false">(W29-V29)*9</f>
        <v>0</v>
      </c>
      <c r="X92" s="74" t="n">
        <f aca="false">(X29-W29)*8</f>
        <v>0</v>
      </c>
      <c r="Y92" s="74" t="n">
        <f aca="false">(Y29-X29)*7</f>
        <v>0</v>
      </c>
      <c r="Z92" s="74" t="n">
        <f aca="false">(Z29-Y29)*6</f>
        <v>0</v>
      </c>
      <c r="AA92" s="74" t="n">
        <f aca="false">(AA29-Z29)*5</f>
        <v>0</v>
      </c>
      <c r="AB92" s="74" t="n">
        <f aca="false">(AB29-AA29)*4</f>
        <v>0</v>
      </c>
    </row>
    <row r="93" customFormat="false" ht="15" hidden="false" customHeight="false" outlineLevel="0" collapsed="false">
      <c r="A93" s="28" t="s">
        <v>1022</v>
      </c>
      <c r="B93" s="63"/>
      <c r="C93" s="64" t="n">
        <f aca="false">SUM(E93:P93)</f>
        <v>69600</v>
      </c>
      <c r="D93" s="64" t="n">
        <f aca="false">SUM(Q93:AB93)</f>
        <v>70827.744</v>
      </c>
      <c r="E93" s="74" t="n">
        <f aca="false">0</f>
        <v>0</v>
      </c>
      <c r="F93" s="74" t="n">
        <f aca="false">0</f>
        <v>0</v>
      </c>
      <c r="G93" s="74" t="n">
        <f aca="false">0</f>
        <v>0</v>
      </c>
      <c r="H93" s="74" t="n">
        <f aca="false">0</f>
        <v>0</v>
      </c>
      <c r="I93" s="74" t="n">
        <f aca="false">0</f>
        <v>0</v>
      </c>
      <c r="J93" s="74" t="n">
        <f aca="false">0</f>
        <v>0</v>
      </c>
      <c r="K93" s="74" t="n">
        <f aca="false">12*K30</f>
        <v>69600</v>
      </c>
      <c r="L93" s="74" t="n">
        <f aca="false">(L30-K30)*11</f>
        <v>0</v>
      </c>
      <c r="M93" s="74" t="n">
        <f aca="false">(M30-L30)*10</f>
        <v>0</v>
      </c>
      <c r="N93" s="74" t="n">
        <f aca="false">(N30-M30)*9</f>
        <v>0</v>
      </c>
      <c r="O93" s="74" t="n">
        <f aca="false">(O30-N30)*8</f>
        <v>0</v>
      </c>
      <c r="P93" s="74" t="n">
        <f aca="false">(P30-O30)*7</f>
        <v>0</v>
      </c>
      <c r="Q93" s="74" t="n">
        <f aca="false">(Q30-P30)*6</f>
        <v>0</v>
      </c>
      <c r="R93" s="74" t="n">
        <f aca="false">(R30-Q30)*5</f>
        <v>0</v>
      </c>
      <c r="S93" s="74" t="n">
        <f aca="false">(S30-R30)*4</f>
        <v>0</v>
      </c>
      <c r="T93" s="74" t="n">
        <f aca="false">(T30-S30)*3</f>
        <v>0</v>
      </c>
      <c r="U93" s="74" t="n">
        <f aca="false">(U30-T30)*2</f>
        <v>0</v>
      </c>
      <c r="V93" s="74" t="n">
        <f aca="false">(V30-U30)*1</f>
        <v>0</v>
      </c>
      <c r="W93" s="74" t="n">
        <f aca="false">12*W30</f>
        <v>70827.744</v>
      </c>
      <c r="X93" s="74" t="n">
        <f aca="false">(X30-W30)*11</f>
        <v>0</v>
      </c>
      <c r="Y93" s="74" t="n">
        <f aca="false">(Y30-X30)*10</f>
        <v>0</v>
      </c>
      <c r="Z93" s="74" t="n">
        <f aca="false">(Z30-Y30)*9</f>
        <v>0</v>
      </c>
      <c r="AA93" s="74" t="n">
        <f aca="false">(AA30-Z30)*8</f>
        <v>0</v>
      </c>
      <c r="AB93" s="74" t="n">
        <f aca="false">(AB30-AA30)*7</f>
        <v>0</v>
      </c>
    </row>
    <row r="94" customFormat="false" ht="15" hidden="false" customHeight="false" outlineLevel="0" collapsed="false">
      <c r="A94" s="28" t="s">
        <v>1023</v>
      </c>
      <c r="B94" s="63"/>
      <c r="C94" s="64" t="n">
        <f aca="false">SUM(E94:P94)</f>
        <v>51840</v>
      </c>
      <c r="D94" s="64" t="n">
        <f aca="false">SUM(Q94:AB94)</f>
        <v>53261.712</v>
      </c>
      <c r="E94" s="65" t="n">
        <f aca="false">IF(Assumptions!E$189&lt;Account_Register!$O$29,0,IF(MOD(Assumptions!E$189-Account_Register!$O$29,12)=0,12*E31,0))</f>
        <v>0</v>
      </c>
      <c r="F94" s="65" t="n">
        <f aca="false">IF(Assumptions!F$189&lt;Account_Register!$O$29,0,IF(MOD(Assumptions!F$189-Account_Register!$O$29,12)=0,12*F31,0))</f>
        <v>0</v>
      </c>
      <c r="G94" s="65" t="n">
        <f aca="false">IF(Assumptions!G$189&lt;Account_Register!$O$29,0,IF(MOD(Assumptions!G$189-Account_Register!$O$29,12)=0,12*G31,0))</f>
        <v>0</v>
      </c>
      <c r="H94" s="65" t="n">
        <f aca="false">IF(Assumptions!H$189&lt;Account_Register!$O$29,0,IF(MOD(Assumptions!H$189-Account_Register!$O$29,12)=0,12*H31,0))</f>
        <v>0</v>
      </c>
      <c r="I94" s="65" t="n">
        <f aca="false">IF(Assumptions!I$189&lt;Account_Register!$O$29,0,IF(MOD(Assumptions!I$189-Account_Register!$O$29,12)=0,12*I31,0))</f>
        <v>0</v>
      </c>
      <c r="J94" s="65" t="n">
        <f aca="false">IF(Assumptions!J$189&lt;Account_Register!$O$29,0,IF(MOD(Assumptions!J$189-Account_Register!$O$29,12)=0,12*J31,0))</f>
        <v>0</v>
      </c>
      <c r="K94" s="65" t="n">
        <f aca="false">IF(Assumptions!K$189&lt;Account_Register!$O$29,0,IF(MOD(Assumptions!K$189-Account_Register!$O$29,12)=0,12*K31,0))</f>
        <v>0</v>
      </c>
      <c r="L94" s="65" t="n">
        <f aca="false">IF(Assumptions!L$189&lt;Account_Register!$O$29,0,IF(MOD(Assumptions!L$189-Account_Register!$O$29,12)=0,12*L31,0))</f>
        <v>0</v>
      </c>
      <c r="M94" s="65" t="n">
        <f aca="false">IF(Assumptions!M$189&lt;Account_Register!$O$29,0,IF(MOD(Assumptions!M$189-Account_Register!$O$29,12)=0,12*M31,0))</f>
        <v>0</v>
      </c>
      <c r="N94" s="65" t="n">
        <f aca="false">IF(Assumptions!N$189&lt;Account_Register!$O$29,0,IF(MOD(Assumptions!N$189-Account_Register!$O$29,12)=0,12*N31,0))</f>
        <v>0</v>
      </c>
      <c r="O94" s="65" t="n">
        <f aca="false">IF(Assumptions!O$189&lt;Account_Register!$O$29,0,IF(MOD(Assumptions!O$189-Account_Register!$O$29,12)=0,12*O31,0))</f>
        <v>51840</v>
      </c>
      <c r="P94" s="65" t="n">
        <f aca="false">IF(Assumptions!P$189&lt;Account_Register!$O$29,0,IF(MOD(Assumptions!P$189-Account_Register!$O$29,12)=0,12*P31,0))</f>
        <v>0</v>
      </c>
      <c r="Q94" s="65" t="n">
        <f aca="false">IF(Assumptions!Q$189&lt;Account_Register!$O$29,0,IF(MOD(Assumptions!Q$189-Account_Register!$O$29,12)=0,12*Q31,0))</f>
        <v>0</v>
      </c>
      <c r="R94" s="65" t="n">
        <f aca="false">IF(Assumptions!R$189&lt;Account_Register!$O$29,0,IF(MOD(Assumptions!R$189-Account_Register!$O$29,12)=0,12*R31,0))</f>
        <v>0</v>
      </c>
      <c r="S94" s="65" t="n">
        <f aca="false">IF(Assumptions!S$189&lt;Account_Register!$O$29,0,IF(MOD(Assumptions!S$189-Account_Register!$O$29,12)=0,12*S31,0))</f>
        <v>0</v>
      </c>
      <c r="T94" s="65" t="n">
        <f aca="false">IF(Assumptions!T$189&lt;Account_Register!$O$29,0,IF(MOD(Assumptions!T$189-Account_Register!$O$29,12)=0,12*T31,0))</f>
        <v>0</v>
      </c>
      <c r="U94" s="65" t="n">
        <f aca="false">IF(Assumptions!U$189&lt;Account_Register!$O$29,0,IF(MOD(Assumptions!U$189-Account_Register!$O$29,12)=0,12*U31,0))</f>
        <v>0</v>
      </c>
      <c r="V94" s="65" t="n">
        <f aca="false">IF(Assumptions!V$189&lt;Account_Register!$O$29,0,IF(MOD(Assumptions!V$189-Account_Register!$O$29,12)=0,12*V31,0))</f>
        <v>0</v>
      </c>
      <c r="W94" s="65" t="n">
        <f aca="false">IF(Assumptions!W$189&lt;Account_Register!$O$29,0,IF(MOD(Assumptions!W$189-Account_Register!$O$29,12)=0,12*W31,0))</f>
        <v>0</v>
      </c>
      <c r="X94" s="65" t="n">
        <f aca="false">IF(Assumptions!X$189&lt;Account_Register!$O$29,0,IF(MOD(Assumptions!X$189-Account_Register!$O$29,12)=0,12*X31,0))</f>
        <v>0</v>
      </c>
      <c r="Y94" s="65" t="n">
        <f aca="false">IF(Assumptions!Y$189&lt;Account_Register!$O$29,0,IF(MOD(Assumptions!Y$189-Account_Register!$O$29,12)=0,12*Y31,0))</f>
        <v>0</v>
      </c>
      <c r="Z94" s="65" t="n">
        <f aca="false">IF(Assumptions!Z$189&lt;Account_Register!$O$29,0,IF(MOD(Assumptions!Z$189-Account_Register!$O$29,12)=0,12*Z31,0))</f>
        <v>0</v>
      </c>
      <c r="AA94" s="65" t="n">
        <f aca="false">IF(Assumptions!AA$189&lt;Account_Register!$O$29,0,IF(MOD(Assumptions!AA$189-Account_Register!$O$29,12)=0,12*AA31,0))</f>
        <v>53261.712</v>
      </c>
      <c r="AB94" s="65" t="n">
        <f aca="false">IF(Assumptions!AB$189&lt;Account_Register!$O$29,0,IF(MOD(Assumptions!AB$189-Account_Register!$O$29,12)=0,12*AB31,0))</f>
        <v>0</v>
      </c>
    </row>
    <row r="95" customFormat="false" ht="15" hidden="false" customHeight="false" outlineLevel="0" collapsed="false">
      <c r="A95" s="28" t="s">
        <v>1024</v>
      </c>
      <c r="B95" s="63"/>
      <c r="C95" s="64" t="n">
        <f aca="false">SUM(E95:P95)</f>
        <v>54000</v>
      </c>
      <c r="D95" s="64" t="n">
        <f aca="false">SUM(Q95:AB95)</f>
        <v>55480.95</v>
      </c>
      <c r="E95" s="65" t="n">
        <f aca="false">IF(Assumptions!E$189&lt;Account_Register!$O$30,0,IF(MOD(Assumptions!E$189-Account_Register!$O$30,12)=0,12*E32,0))</f>
        <v>0</v>
      </c>
      <c r="F95" s="65" t="n">
        <f aca="false">IF(Assumptions!F$189&lt;Account_Register!$O$30,0,IF(MOD(Assumptions!F$189-Account_Register!$O$30,12)=0,12*F32,0))</f>
        <v>0</v>
      </c>
      <c r="G95" s="65" t="n">
        <f aca="false">IF(Assumptions!G$189&lt;Account_Register!$O$30,0,IF(MOD(Assumptions!G$189-Account_Register!$O$30,12)=0,12*G32,0))</f>
        <v>0</v>
      </c>
      <c r="H95" s="65" t="n">
        <f aca="false">IF(Assumptions!H$189&lt;Account_Register!$O$30,0,IF(MOD(Assumptions!H$189-Account_Register!$O$30,12)=0,12*H32,0))</f>
        <v>0</v>
      </c>
      <c r="I95" s="65" t="n">
        <f aca="false">IF(Assumptions!I$189&lt;Account_Register!$O$30,0,IF(MOD(Assumptions!I$189-Account_Register!$O$30,12)=0,12*I32,0))</f>
        <v>0</v>
      </c>
      <c r="J95" s="65" t="n">
        <f aca="false">IF(Assumptions!J$189&lt;Account_Register!$O$30,0,IF(MOD(Assumptions!J$189-Account_Register!$O$30,12)=0,12*J32,0))</f>
        <v>0</v>
      </c>
      <c r="K95" s="65" t="n">
        <f aca="false">IF(Assumptions!K$189&lt;Account_Register!$O$30,0,IF(MOD(Assumptions!K$189-Account_Register!$O$30,12)=0,12*K32,0))</f>
        <v>0</v>
      </c>
      <c r="L95" s="65" t="n">
        <f aca="false">IF(Assumptions!L$189&lt;Account_Register!$O$30,0,IF(MOD(Assumptions!L$189-Account_Register!$O$30,12)=0,12*L32,0))</f>
        <v>0</v>
      </c>
      <c r="M95" s="65" t="n">
        <f aca="false">IF(Assumptions!M$189&lt;Account_Register!$O$30,0,IF(MOD(Assumptions!M$189-Account_Register!$O$30,12)=0,12*M32,0))</f>
        <v>0</v>
      </c>
      <c r="N95" s="65" t="n">
        <f aca="false">IF(Assumptions!N$189&lt;Account_Register!$O$30,0,IF(MOD(Assumptions!N$189-Account_Register!$O$30,12)=0,12*N32,0))</f>
        <v>0</v>
      </c>
      <c r="O95" s="65" t="n">
        <f aca="false">IF(Assumptions!O$189&lt;Account_Register!$O$30,0,IF(MOD(Assumptions!O$189-Account_Register!$O$30,12)=0,12*O32,0))</f>
        <v>0</v>
      </c>
      <c r="P95" s="65" t="n">
        <f aca="false">IF(Assumptions!P$189&lt;Account_Register!$O$30,0,IF(MOD(Assumptions!P$189-Account_Register!$O$30,12)=0,12*P32,0))</f>
        <v>54000</v>
      </c>
      <c r="Q95" s="65" t="n">
        <f aca="false">IF(Assumptions!Q$189&lt;Account_Register!$O$30,0,IF(MOD(Assumptions!Q$189-Account_Register!$O$30,12)=0,12*Q32,0))</f>
        <v>0</v>
      </c>
      <c r="R95" s="65" t="n">
        <f aca="false">IF(Assumptions!R$189&lt;Account_Register!$O$30,0,IF(MOD(Assumptions!R$189-Account_Register!$O$30,12)=0,12*R32,0))</f>
        <v>0</v>
      </c>
      <c r="S95" s="65" t="n">
        <f aca="false">IF(Assumptions!S$189&lt;Account_Register!$O$30,0,IF(MOD(Assumptions!S$189-Account_Register!$O$30,12)=0,12*S32,0))</f>
        <v>0</v>
      </c>
      <c r="T95" s="65" t="n">
        <f aca="false">IF(Assumptions!T$189&lt;Account_Register!$O$30,0,IF(MOD(Assumptions!T$189-Account_Register!$O$30,12)=0,12*T32,0))</f>
        <v>0</v>
      </c>
      <c r="U95" s="65" t="n">
        <f aca="false">IF(Assumptions!U$189&lt;Account_Register!$O$30,0,IF(MOD(Assumptions!U$189-Account_Register!$O$30,12)=0,12*U32,0))</f>
        <v>0</v>
      </c>
      <c r="V95" s="65" t="n">
        <f aca="false">IF(Assumptions!V$189&lt;Account_Register!$O$30,0,IF(MOD(Assumptions!V$189-Account_Register!$O$30,12)=0,12*V32,0))</f>
        <v>0</v>
      </c>
      <c r="W95" s="65" t="n">
        <f aca="false">IF(Assumptions!W$189&lt;Account_Register!$O$30,0,IF(MOD(Assumptions!W$189-Account_Register!$O$30,12)=0,12*W32,0))</f>
        <v>0</v>
      </c>
      <c r="X95" s="65" t="n">
        <f aca="false">IF(Assumptions!X$189&lt;Account_Register!$O$30,0,IF(MOD(Assumptions!X$189-Account_Register!$O$30,12)=0,12*X32,0))</f>
        <v>0</v>
      </c>
      <c r="Y95" s="65" t="n">
        <f aca="false">IF(Assumptions!Y$189&lt;Account_Register!$O$30,0,IF(MOD(Assumptions!Y$189-Account_Register!$O$30,12)=0,12*Y32,0))</f>
        <v>0</v>
      </c>
      <c r="Z95" s="65" t="n">
        <f aca="false">IF(Assumptions!Z$189&lt;Account_Register!$O$30,0,IF(MOD(Assumptions!Z$189-Account_Register!$O$30,12)=0,12*Z32,0))</f>
        <v>0</v>
      </c>
      <c r="AA95" s="65" t="n">
        <f aca="false">IF(Assumptions!AA$189&lt;Account_Register!$O$30,0,IF(MOD(Assumptions!AA$189-Account_Register!$O$30,12)=0,12*AA32,0))</f>
        <v>0</v>
      </c>
      <c r="AB95" s="65" t="n">
        <f aca="false">IF(Assumptions!AB$189&lt;Account_Register!$O$30,0,IF(MOD(Assumptions!AB$189-Account_Register!$O$30,12)=0,12*AB32,0))</f>
        <v>55480.95</v>
      </c>
    </row>
    <row r="96" customFormat="false" ht="15" hidden="false" customHeight="false" outlineLevel="0" collapsed="false">
      <c r="A96" s="28" t="s">
        <v>1025</v>
      </c>
      <c r="B96" s="63"/>
      <c r="C96" s="64" t="n">
        <f aca="false">SUM(E96:P96)</f>
        <v>0</v>
      </c>
      <c r="D96" s="64" t="n">
        <f aca="false">SUM(Q96:AB96)</f>
        <v>35100</v>
      </c>
      <c r="E96" s="65" t="n">
        <f aca="false">IF(Assumptions!E$189&lt;Account_Register!$O$31,0,IF(MOD(Assumptions!E$189-Account_Register!$O$31,12)=0,12*E33,0))</f>
        <v>0</v>
      </c>
      <c r="F96" s="65" t="n">
        <f aca="false">IF(Assumptions!F$189&lt;Account_Register!$O$31,0,IF(MOD(Assumptions!F$189-Account_Register!$O$31,12)=0,12*F33,0))</f>
        <v>0</v>
      </c>
      <c r="G96" s="65" t="n">
        <f aca="false">IF(Assumptions!G$189&lt;Account_Register!$O$31,0,IF(MOD(Assumptions!G$189-Account_Register!$O$31,12)=0,12*G33,0))</f>
        <v>0</v>
      </c>
      <c r="H96" s="65" t="n">
        <f aca="false">IF(Assumptions!H$189&lt;Account_Register!$O$31,0,IF(MOD(Assumptions!H$189-Account_Register!$O$31,12)=0,12*H33,0))</f>
        <v>0</v>
      </c>
      <c r="I96" s="65" t="n">
        <f aca="false">IF(Assumptions!I$189&lt;Account_Register!$O$31,0,IF(MOD(Assumptions!I$189-Account_Register!$O$31,12)=0,12*I33,0))</f>
        <v>0</v>
      </c>
      <c r="J96" s="65" t="n">
        <f aca="false">IF(Assumptions!J$189&lt;Account_Register!$O$31,0,IF(MOD(Assumptions!J$189-Account_Register!$O$31,12)=0,12*J33,0))</f>
        <v>0</v>
      </c>
      <c r="K96" s="65" t="n">
        <f aca="false">IF(Assumptions!K$189&lt;Account_Register!$O$31,0,IF(MOD(Assumptions!K$189-Account_Register!$O$31,12)=0,12*K33,0))</f>
        <v>0</v>
      </c>
      <c r="L96" s="65" t="n">
        <f aca="false">IF(Assumptions!L$189&lt;Account_Register!$O$31,0,IF(MOD(Assumptions!L$189-Account_Register!$O$31,12)=0,12*L33,0))</f>
        <v>0</v>
      </c>
      <c r="M96" s="65" t="n">
        <f aca="false">IF(Assumptions!M$189&lt;Account_Register!$O$31,0,IF(MOD(Assumptions!M$189-Account_Register!$O$31,12)=0,12*M33,0))</f>
        <v>0</v>
      </c>
      <c r="N96" s="65" t="n">
        <f aca="false">IF(Assumptions!N$189&lt;Account_Register!$O$31,0,IF(MOD(Assumptions!N$189-Account_Register!$O$31,12)=0,12*N33,0))</f>
        <v>0</v>
      </c>
      <c r="O96" s="65" t="n">
        <f aca="false">IF(Assumptions!O$189&lt;Account_Register!$O$31,0,IF(MOD(Assumptions!O$189-Account_Register!$O$31,12)=0,12*O33,0))</f>
        <v>0</v>
      </c>
      <c r="P96" s="65" t="n">
        <f aca="false">IF(Assumptions!P$189&lt;Account_Register!$O$31,0,IF(MOD(Assumptions!P$189-Account_Register!$O$31,12)=0,12*P33,0))</f>
        <v>0</v>
      </c>
      <c r="Q96" s="65" t="n">
        <f aca="false">IF(Assumptions!Q$189&lt;Account_Register!$O$31,0,IF(MOD(Assumptions!Q$189-Account_Register!$O$31,12)=0,12*Q33,0))</f>
        <v>35100</v>
      </c>
      <c r="R96" s="65" t="n">
        <f aca="false">IF(Assumptions!R$189&lt;Account_Register!$O$31,0,IF(MOD(Assumptions!R$189-Account_Register!$O$31,12)=0,12*R33,0))</f>
        <v>0</v>
      </c>
      <c r="S96" s="65" t="n">
        <f aca="false">IF(Assumptions!S$189&lt;Account_Register!$O$31,0,IF(MOD(Assumptions!S$189-Account_Register!$O$31,12)=0,12*S33,0))</f>
        <v>0</v>
      </c>
      <c r="T96" s="65" t="n">
        <f aca="false">IF(Assumptions!T$189&lt;Account_Register!$O$31,0,IF(MOD(Assumptions!T$189-Account_Register!$O$31,12)=0,12*T33,0))</f>
        <v>0</v>
      </c>
      <c r="U96" s="65" t="n">
        <f aca="false">IF(Assumptions!U$189&lt;Account_Register!$O$31,0,IF(MOD(Assumptions!U$189-Account_Register!$O$31,12)=0,12*U33,0))</f>
        <v>0</v>
      </c>
      <c r="V96" s="65" t="n">
        <f aca="false">IF(Assumptions!V$189&lt;Account_Register!$O$31,0,IF(MOD(Assumptions!V$189-Account_Register!$O$31,12)=0,12*V33,0))</f>
        <v>0</v>
      </c>
      <c r="W96" s="65" t="n">
        <f aca="false">IF(Assumptions!W$189&lt;Account_Register!$O$31,0,IF(MOD(Assumptions!W$189-Account_Register!$O$31,12)=0,12*W33,0))</f>
        <v>0</v>
      </c>
      <c r="X96" s="65" t="n">
        <f aca="false">IF(Assumptions!X$189&lt;Account_Register!$O$31,0,IF(MOD(Assumptions!X$189-Account_Register!$O$31,12)=0,12*X33,0))</f>
        <v>0</v>
      </c>
      <c r="Y96" s="65" t="n">
        <f aca="false">IF(Assumptions!Y$189&lt;Account_Register!$O$31,0,IF(MOD(Assumptions!Y$189-Account_Register!$O$31,12)=0,12*Y33,0))</f>
        <v>0</v>
      </c>
      <c r="Z96" s="65" t="n">
        <f aca="false">IF(Assumptions!Z$189&lt;Account_Register!$O$31,0,IF(MOD(Assumptions!Z$189-Account_Register!$O$31,12)=0,12*Z33,0))</f>
        <v>0</v>
      </c>
      <c r="AA96" s="65" t="n">
        <f aca="false">IF(Assumptions!AA$189&lt;Account_Register!$O$31,0,IF(MOD(Assumptions!AA$189-Account_Register!$O$31,12)=0,12*AA33,0))</f>
        <v>0</v>
      </c>
      <c r="AB96" s="65" t="n">
        <f aca="false">IF(Assumptions!AB$189&lt;Account_Register!$O$31,0,IF(MOD(Assumptions!AB$189-Account_Register!$O$31,12)=0,12*AB33,0))</f>
        <v>0</v>
      </c>
    </row>
    <row r="97" customFormat="false" ht="15" hidden="false" customHeight="false" outlineLevel="0" collapsed="false">
      <c r="A97" s="28" t="s">
        <v>1026</v>
      </c>
      <c r="B97" s="63"/>
      <c r="C97" s="64" t="n">
        <f aca="false">SUM(E97:P97)</f>
        <v>0</v>
      </c>
      <c r="D97" s="64" t="n">
        <f aca="false">SUM(Q97:AB97)</f>
        <v>32400</v>
      </c>
      <c r="E97" s="65" t="n">
        <f aca="false">IF(Assumptions!E$189&lt;Account_Register!$O$32,0,IF(MOD(Assumptions!E$189-Account_Register!$O$32,12)=0,12*E34,0))</f>
        <v>0</v>
      </c>
      <c r="F97" s="65" t="n">
        <f aca="false">IF(Assumptions!F$189&lt;Account_Register!$O$32,0,IF(MOD(Assumptions!F$189-Account_Register!$O$32,12)=0,12*F34,0))</f>
        <v>0</v>
      </c>
      <c r="G97" s="65" t="n">
        <f aca="false">IF(Assumptions!G$189&lt;Account_Register!$O$32,0,IF(MOD(Assumptions!G$189-Account_Register!$O$32,12)=0,12*G34,0))</f>
        <v>0</v>
      </c>
      <c r="H97" s="65" t="n">
        <f aca="false">IF(Assumptions!H$189&lt;Account_Register!$O$32,0,IF(MOD(Assumptions!H$189-Account_Register!$O$32,12)=0,12*H34,0))</f>
        <v>0</v>
      </c>
      <c r="I97" s="65" t="n">
        <f aca="false">IF(Assumptions!I$189&lt;Account_Register!$O$32,0,IF(MOD(Assumptions!I$189-Account_Register!$O$32,12)=0,12*I34,0))</f>
        <v>0</v>
      </c>
      <c r="J97" s="65" t="n">
        <f aca="false">IF(Assumptions!J$189&lt;Account_Register!$O$32,0,IF(MOD(Assumptions!J$189-Account_Register!$O$32,12)=0,12*J34,0))</f>
        <v>0</v>
      </c>
      <c r="K97" s="65" t="n">
        <f aca="false">IF(Assumptions!K$189&lt;Account_Register!$O$32,0,IF(MOD(Assumptions!K$189-Account_Register!$O$32,12)=0,12*K34,0))</f>
        <v>0</v>
      </c>
      <c r="L97" s="65" t="n">
        <f aca="false">IF(Assumptions!L$189&lt;Account_Register!$O$32,0,IF(MOD(Assumptions!L$189-Account_Register!$O$32,12)=0,12*L34,0))</f>
        <v>0</v>
      </c>
      <c r="M97" s="65" t="n">
        <f aca="false">IF(Assumptions!M$189&lt;Account_Register!$O$32,0,IF(MOD(Assumptions!M$189-Account_Register!$O$32,12)=0,12*M34,0))</f>
        <v>0</v>
      </c>
      <c r="N97" s="65" t="n">
        <f aca="false">IF(Assumptions!N$189&lt;Account_Register!$O$32,0,IF(MOD(Assumptions!N$189-Account_Register!$O$32,12)=0,12*N34,0))</f>
        <v>0</v>
      </c>
      <c r="O97" s="65" t="n">
        <f aca="false">IF(Assumptions!O$189&lt;Account_Register!$O$32,0,IF(MOD(Assumptions!O$189-Account_Register!$O$32,12)=0,12*O34,0))</f>
        <v>0</v>
      </c>
      <c r="P97" s="65" t="n">
        <f aca="false">IF(Assumptions!P$189&lt;Account_Register!$O$32,0,IF(MOD(Assumptions!P$189-Account_Register!$O$32,12)=0,12*P34,0))</f>
        <v>0</v>
      </c>
      <c r="Q97" s="65" t="n">
        <f aca="false">IF(Assumptions!Q$189&lt;Account_Register!$O$32,0,IF(MOD(Assumptions!Q$189-Account_Register!$O$32,12)=0,12*Q34,0))</f>
        <v>0</v>
      </c>
      <c r="R97" s="65" t="n">
        <f aca="false">IF(Assumptions!R$189&lt;Account_Register!$O$32,0,IF(MOD(Assumptions!R$189-Account_Register!$O$32,12)=0,12*R34,0))</f>
        <v>32400</v>
      </c>
      <c r="S97" s="65" t="n">
        <f aca="false">IF(Assumptions!S$189&lt;Account_Register!$O$32,0,IF(MOD(Assumptions!S$189-Account_Register!$O$32,12)=0,12*S34,0))</f>
        <v>0</v>
      </c>
      <c r="T97" s="65" t="n">
        <f aca="false">IF(Assumptions!T$189&lt;Account_Register!$O$32,0,IF(MOD(Assumptions!T$189-Account_Register!$O$32,12)=0,12*T34,0))</f>
        <v>0</v>
      </c>
      <c r="U97" s="65" t="n">
        <f aca="false">IF(Assumptions!U$189&lt;Account_Register!$O$32,0,IF(MOD(Assumptions!U$189-Account_Register!$O$32,12)=0,12*U34,0))</f>
        <v>0</v>
      </c>
      <c r="V97" s="65" t="n">
        <f aca="false">IF(Assumptions!V$189&lt;Account_Register!$O$32,0,IF(MOD(Assumptions!V$189-Account_Register!$O$32,12)=0,12*V34,0))</f>
        <v>0</v>
      </c>
      <c r="W97" s="65" t="n">
        <f aca="false">IF(Assumptions!W$189&lt;Account_Register!$O$32,0,IF(MOD(Assumptions!W$189-Account_Register!$O$32,12)=0,12*W34,0))</f>
        <v>0</v>
      </c>
      <c r="X97" s="65" t="n">
        <f aca="false">IF(Assumptions!X$189&lt;Account_Register!$O$32,0,IF(MOD(Assumptions!X$189-Account_Register!$O$32,12)=0,12*X34,0))</f>
        <v>0</v>
      </c>
      <c r="Y97" s="65" t="n">
        <f aca="false">IF(Assumptions!Y$189&lt;Account_Register!$O$32,0,IF(MOD(Assumptions!Y$189-Account_Register!$O$32,12)=0,12*Y34,0))</f>
        <v>0</v>
      </c>
      <c r="Z97" s="65" t="n">
        <f aca="false">IF(Assumptions!Z$189&lt;Account_Register!$O$32,0,IF(MOD(Assumptions!Z$189-Account_Register!$O$32,12)=0,12*Z34,0))</f>
        <v>0</v>
      </c>
      <c r="AA97" s="65" t="n">
        <f aca="false">IF(Assumptions!AA$189&lt;Account_Register!$O$32,0,IF(MOD(Assumptions!AA$189-Account_Register!$O$32,12)=0,12*AA34,0))</f>
        <v>0</v>
      </c>
      <c r="AB97" s="65" t="n">
        <f aca="false">IF(Assumptions!AB$189&lt;Account_Register!$O$32,0,IF(MOD(Assumptions!AB$189-Account_Register!$O$32,12)=0,12*AB34,0))</f>
        <v>0</v>
      </c>
    </row>
    <row r="98" customFormat="false" ht="15" hidden="false" customHeight="false" outlineLevel="0" collapsed="false">
      <c r="A98" s="28" t="s">
        <v>1027</v>
      </c>
      <c r="B98" s="63"/>
      <c r="C98" s="64" t="n">
        <f aca="false">SUM(E98:P98)</f>
        <v>0</v>
      </c>
      <c r="D98" s="64" t="n">
        <f aca="false">SUM(Q98:AB98)</f>
        <v>37440</v>
      </c>
      <c r="E98" s="65" t="n">
        <f aca="false">IF(Assumptions!E$189&lt;Account_Register!$O$33,0,IF(MOD(Assumptions!E$189-Account_Register!$O$33,12)=0,12*E35,0))</f>
        <v>0</v>
      </c>
      <c r="F98" s="65" t="n">
        <f aca="false">IF(Assumptions!F$189&lt;Account_Register!$O$33,0,IF(MOD(Assumptions!F$189-Account_Register!$O$33,12)=0,12*F35,0))</f>
        <v>0</v>
      </c>
      <c r="G98" s="65" t="n">
        <f aca="false">IF(Assumptions!G$189&lt;Account_Register!$O$33,0,IF(MOD(Assumptions!G$189-Account_Register!$O$33,12)=0,12*G35,0))</f>
        <v>0</v>
      </c>
      <c r="H98" s="65" t="n">
        <f aca="false">IF(Assumptions!H$189&lt;Account_Register!$O$33,0,IF(MOD(Assumptions!H$189-Account_Register!$O$33,12)=0,12*H35,0))</f>
        <v>0</v>
      </c>
      <c r="I98" s="65" t="n">
        <f aca="false">IF(Assumptions!I$189&lt;Account_Register!$O$33,0,IF(MOD(Assumptions!I$189-Account_Register!$O$33,12)=0,12*I35,0))</f>
        <v>0</v>
      </c>
      <c r="J98" s="65" t="n">
        <f aca="false">IF(Assumptions!J$189&lt;Account_Register!$O$33,0,IF(MOD(Assumptions!J$189-Account_Register!$O$33,12)=0,12*J35,0))</f>
        <v>0</v>
      </c>
      <c r="K98" s="65" t="n">
        <f aca="false">IF(Assumptions!K$189&lt;Account_Register!$O$33,0,IF(MOD(Assumptions!K$189-Account_Register!$O$33,12)=0,12*K35,0))</f>
        <v>0</v>
      </c>
      <c r="L98" s="65" t="n">
        <f aca="false">IF(Assumptions!L$189&lt;Account_Register!$O$33,0,IF(MOD(Assumptions!L$189-Account_Register!$O$33,12)=0,12*L35,0))</f>
        <v>0</v>
      </c>
      <c r="M98" s="65" t="n">
        <f aca="false">IF(Assumptions!M$189&lt;Account_Register!$O$33,0,IF(MOD(Assumptions!M$189-Account_Register!$O$33,12)=0,12*M35,0))</f>
        <v>0</v>
      </c>
      <c r="N98" s="65" t="n">
        <f aca="false">IF(Assumptions!N$189&lt;Account_Register!$O$33,0,IF(MOD(Assumptions!N$189-Account_Register!$O$33,12)=0,12*N35,0))</f>
        <v>0</v>
      </c>
      <c r="O98" s="65" t="n">
        <f aca="false">IF(Assumptions!O$189&lt;Account_Register!$O$33,0,IF(MOD(Assumptions!O$189-Account_Register!$O$33,12)=0,12*O35,0))</f>
        <v>0</v>
      </c>
      <c r="P98" s="65" t="n">
        <f aca="false">IF(Assumptions!P$189&lt;Account_Register!$O$33,0,IF(MOD(Assumptions!P$189-Account_Register!$O$33,12)=0,12*P35,0))</f>
        <v>0</v>
      </c>
      <c r="Q98" s="65" t="n">
        <f aca="false">IF(Assumptions!Q$189&lt;Account_Register!$O$33,0,IF(MOD(Assumptions!Q$189-Account_Register!$O$33,12)=0,12*Q35,0))</f>
        <v>0</v>
      </c>
      <c r="R98" s="65" t="n">
        <f aca="false">IF(Assumptions!R$189&lt;Account_Register!$O$33,0,IF(MOD(Assumptions!R$189-Account_Register!$O$33,12)=0,12*R35,0))</f>
        <v>0</v>
      </c>
      <c r="S98" s="65" t="n">
        <f aca="false">IF(Assumptions!S$189&lt;Account_Register!$O$33,0,IF(MOD(Assumptions!S$189-Account_Register!$O$33,12)=0,12*S35,0))</f>
        <v>37440</v>
      </c>
      <c r="T98" s="65" t="n">
        <f aca="false">IF(Assumptions!T$189&lt;Account_Register!$O$33,0,IF(MOD(Assumptions!T$189-Account_Register!$O$33,12)=0,12*T35,0))</f>
        <v>0</v>
      </c>
      <c r="U98" s="65" t="n">
        <f aca="false">IF(Assumptions!U$189&lt;Account_Register!$O$33,0,IF(MOD(Assumptions!U$189-Account_Register!$O$33,12)=0,12*U35,0))</f>
        <v>0</v>
      </c>
      <c r="V98" s="65" t="n">
        <f aca="false">IF(Assumptions!V$189&lt;Account_Register!$O$33,0,IF(MOD(Assumptions!V$189-Account_Register!$O$33,12)=0,12*V35,0))</f>
        <v>0</v>
      </c>
      <c r="W98" s="65" t="n">
        <f aca="false">IF(Assumptions!W$189&lt;Account_Register!$O$33,0,IF(MOD(Assumptions!W$189-Account_Register!$O$33,12)=0,12*W35,0))</f>
        <v>0</v>
      </c>
      <c r="X98" s="65" t="n">
        <f aca="false">IF(Assumptions!X$189&lt;Account_Register!$O$33,0,IF(MOD(Assumptions!X$189-Account_Register!$O$33,12)=0,12*X35,0))</f>
        <v>0</v>
      </c>
      <c r="Y98" s="65" t="n">
        <f aca="false">IF(Assumptions!Y$189&lt;Account_Register!$O$33,0,IF(MOD(Assumptions!Y$189-Account_Register!$O$33,12)=0,12*Y35,0))</f>
        <v>0</v>
      </c>
      <c r="Z98" s="65" t="n">
        <f aca="false">IF(Assumptions!Z$189&lt;Account_Register!$O$33,0,IF(MOD(Assumptions!Z$189-Account_Register!$O$33,12)=0,12*Z35,0))</f>
        <v>0</v>
      </c>
      <c r="AA98" s="65" t="n">
        <f aca="false">IF(Assumptions!AA$189&lt;Account_Register!$O$33,0,IF(MOD(Assumptions!AA$189-Account_Register!$O$33,12)=0,12*AA35,0))</f>
        <v>0</v>
      </c>
      <c r="AB98" s="65" t="n">
        <f aca="false">IF(Assumptions!AB$189&lt;Account_Register!$O$33,0,IF(MOD(Assumptions!AB$189-Account_Register!$O$33,12)=0,12*AB35,0))</f>
        <v>0</v>
      </c>
    </row>
    <row r="99" customFormat="false" ht="15" hidden="false" customHeight="false" outlineLevel="0" collapsed="false">
      <c r="A99" s="28" t="s">
        <v>1028</v>
      </c>
      <c r="B99" s="63"/>
      <c r="C99" s="64" t="n">
        <f aca="false">SUM(E99:P99)</f>
        <v>0</v>
      </c>
      <c r="D99" s="64" t="n">
        <f aca="false">SUM(Q99:AB99)</f>
        <v>36000</v>
      </c>
      <c r="E99" s="65" t="n">
        <f aca="false">IF(Assumptions!E$189&lt;Account_Register!$O$34,0,IF(MOD(Assumptions!E$189-Account_Register!$O$34,12)=0,12*E36,0))</f>
        <v>0</v>
      </c>
      <c r="F99" s="65" t="n">
        <f aca="false">IF(Assumptions!F$189&lt;Account_Register!$O$34,0,IF(MOD(Assumptions!F$189-Account_Register!$O$34,12)=0,12*F36,0))</f>
        <v>0</v>
      </c>
      <c r="G99" s="65" t="n">
        <f aca="false">IF(Assumptions!G$189&lt;Account_Register!$O$34,0,IF(MOD(Assumptions!G$189-Account_Register!$O$34,12)=0,12*G36,0))</f>
        <v>0</v>
      </c>
      <c r="H99" s="65" t="n">
        <f aca="false">IF(Assumptions!H$189&lt;Account_Register!$O$34,0,IF(MOD(Assumptions!H$189-Account_Register!$O$34,12)=0,12*H36,0))</f>
        <v>0</v>
      </c>
      <c r="I99" s="65" t="n">
        <f aca="false">IF(Assumptions!I$189&lt;Account_Register!$O$34,0,IF(MOD(Assumptions!I$189-Account_Register!$O$34,12)=0,12*I36,0))</f>
        <v>0</v>
      </c>
      <c r="J99" s="65" t="n">
        <f aca="false">IF(Assumptions!J$189&lt;Account_Register!$O$34,0,IF(MOD(Assumptions!J$189-Account_Register!$O$34,12)=0,12*J36,0))</f>
        <v>0</v>
      </c>
      <c r="K99" s="65" t="n">
        <f aca="false">IF(Assumptions!K$189&lt;Account_Register!$O$34,0,IF(MOD(Assumptions!K$189-Account_Register!$O$34,12)=0,12*K36,0))</f>
        <v>0</v>
      </c>
      <c r="L99" s="65" t="n">
        <f aca="false">IF(Assumptions!L$189&lt;Account_Register!$O$34,0,IF(MOD(Assumptions!L$189-Account_Register!$O$34,12)=0,12*L36,0))</f>
        <v>0</v>
      </c>
      <c r="M99" s="65" t="n">
        <f aca="false">IF(Assumptions!M$189&lt;Account_Register!$O$34,0,IF(MOD(Assumptions!M$189-Account_Register!$O$34,12)=0,12*M36,0))</f>
        <v>0</v>
      </c>
      <c r="N99" s="65" t="n">
        <f aca="false">IF(Assumptions!N$189&lt;Account_Register!$O$34,0,IF(MOD(Assumptions!N$189-Account_Register!$O$34,12)=0,12*N36,0))</f>
        <v>0</v>
      </c>
      <c r="O99" s="65" t="n">
        <f aca="false">IF(Assumptions!O$189&lt;Account_Register!$O$34,0,IF(MOD(Assumptions!O$189-Account_Register!$O$34,12)=0,12*O36,0))</f>
        <v>0</v>
      </c>
      <c r="P99" s="65" t="n">
        <f aca="false">IF(Assumptions!P$189&lt;Account_Register!$O$34,0,IF(MOD(Assumptions!P$189-Account_Register!$O$34,12)=0,12*P36,0))</f>
        <v>0</v>
      </c>
      <c r="Q99" s="65" t="n">
        <f aca="false">IF(Assumptions!Q$189&lt;Account_Register!$O$34,0,IF(MOD(Assumptions!Q$189-Account_Register!$O$34,12)=0,12*Q36,0))</f>
        <v>0</v>
      </c>
      <c r="R99" s="65" t="n">
        <f aca="false">IF(Assumptions!R$189&lt;Account_Register!$O$34,0,IF(MOD(Assumptions!R$189-Account_Register!$O$34,12)=0,12*R36,0))</f>
        <v>0</v>
      </c>
      <c r="S99" s="65" t="n">
        <f aca="false">IF(Assumptions!S$189&lt;Account_Register!$O$34,0,IF(MOD(Assumptions!S$189-Account_Register!$O$34,12)=0,12*S36,0))</f>
        <v>0</v>
      </c>
      <c r="T99" s="65" t="n">
        <f aca="false">IF(Assumptions!T$189&lt;Account_Register!$O$34,0,IF(MOD(Assumptions!T$189-Account_Register!$O$34,12)=0,12*T36,0))</f>
        <v>36000</v>
      </c>
      <c r="U99" s="65" t="n">
        <f aca="false">IF(Assumptions!U$189&lt;Account_Register!$O$34,0,IF(MOD(Assumptions!U$189-Account_Register!$O$34,12)=0,12*U36,0))</f>
        <v>0</v>
      </c>
      <c r="V99" s="65" t="n">
        <f aca="false">IF(Assumptions!V$189&lt;Account_Register!$O$34,0,IF(MOD(Assumptions!V$189-Account_Register!$O$34,12)=0,12*V36,0))</f>
        <v>0</v>
      </c>
      <c r="W99" s="65" t="n">
        <f aca="false">IF(Assumptions!W$189&lt;Account_Register!$O$34,0,IF(MOD(Assumptions!W$189-Account_Register!$O$34,12)=0,12*W36,0))</f>
        <v>0</v>
      </c>
      <c r="X99" s="65" t="n">
        <f aca="false">IF(Assumptions!X$189&lt;Account_Register!$O$34,0,IF(MOD(Assumptions!X$189-Account_Register!$O$34,12)=0,12*X36,0))</f>
        <v>0</v>
      </c>
      <c r="Y99" s="65" t="n">
        <f aca="false">IF(Assumptions!Y$189&lt;Account_Register!$O$34,0,IF(MOD(Assumptions!Y$189-Account_Register!$O$34,12)=0,12*Y36,0))</f>
        <v>0</v>
      </c>
      <c r="Z99" s="65" t="n">
        <f aca="false">IF(Assumptions!Z$189&lt;Account_Register!$O$34,0,IF(MOD(Assumptions!Z$189-Account_Register!$O$34,12)=0,12*Z36,0))</f>
        <v>0</v>
      </c>
      <c r="AA99" s="65" t="n">
        <f aca="false">IF(Assumptions!AA$189&lt;Account_Register!$O$34,0,IF(MOD(Assumptions!AA$189-Account_Register!$O$34,12)=0,12*AA36,0))</f>
        <v>0</v>
      </c>
      <c r="AB99" s="65" t="n">
        <f aca="false">IF(Assumptions!AB$189&lt;Account_Register!$O$34,0,IF(MOD(Assumptions!AB$189-Account_Register!$O$34,12)=0,12*AB36,0))</f>
        <v>0</v>
      </c>
    </row>
    <row r="100" customFormat="false" ht="15" hidden="false" customHeight="false" outlineLevel="0" collapsed="false">
      <c r="A100" s="28" t="s">
        <v>1032</v>
      </c>
      <c r="B100" s="63" t="s">
        <v>1033</v>
      </c>
      <c r="C100" s="64" t="n">
        <f aca="false">SUM(E100:P100)</f>
        <v>0</v>
      </c>
      <c r="D100" s="64" t="n">
        <f aca="false">SUM(Q100:AB100)</f>
        <v>308700</v>
      </c>
      <c r="E100" s="74" t="n">
        <f aca="false">12*E37</f>
        <v>0</v>
      </c>
      <c r="F100" s="74" t="n">
        <f aca="false">12*F37</f>
        <v>0</v>
      </c>
      <c r="G100" s="74" t="n">
        <f aca="false">12*G37</f>
        <v>0</v>
      </c>
      <c r="H100" s="74" t="n">
        <f aca="false">12*H37</f>
        <v>0</v>
      </c>
      <c r="I100" s="74" t="n">
        <f aca="false">12*I37</f>
        <v>0</v>
      </c>
      <c r="J100" s="74" t="n">
        <f aca="false">12*J37</f>
        <v>0</v>
      </c>
      <c r="K100" s="74" t="n">
        <f aca="false">12*K37</f>
        <v>0</v>
      </c>
      <c r="L100" s="74" t="n">
        <f aca="false">12*L37</f>
        <v>0</v>
      </c>
      <c r="M100" s="74" t="n">
        <f aca="false">12*M37</f>
        <v>0</v>
      </c>
      <c r="N100" s="74" t="n">
        <f aca="false">12*N37</f>
        <v>0</v>
      </c>
      <c r="O100" s="74" t="n">
        <f aca="false">12*O37</f>
        <v>0</v>
      </c>
      <c r="P100" s="74" t="n">
        <f aca="false">12*P37</f>
        <v>0</v>
      </c>
      <c r="Q100" s="74" t="n">
        <f aca="false">12*Q37</f>
        <v>0</v>
      </c>
      <c r="R100" s="74" t="n">
        <f aca="false">12*R37</f>
        <v>0</v>
      </c>
      <c r="S100" s="74" t="n">
        <f aca="false">12*S37</f>
        <v>0</v>
      </c>
      <c r="T100" s="74" t="n">
        <f aca="false">12*T37</f>
        <v>0</v>
      </c>
      <c r="U100" s="74" t="n">
        <f aca="false">12*U37</f>
        <v>0</v>
      </c>
      <c r="V100" s="74" t="n">
        <f aca="false">12*V37</f>
        <v>44100</v>
      </c>
      <c r="W100" s="74" t="n">
        <f aca="false">12*W37</f>
        <v>44100</v>
      </c>
      <c r="X100" s="74" t="n">
        <f aca="false">12*X37</f>
        <v>44100</v>
      </c>
      <c r="Y100" s="74" t="n">
        <f aca="false">12*Y37</f>
        <v>44100</v>
      </c>
      <c r="Z100" s="74" t="n">
        <f aca="false">12*Z37</f>
        <v>44100</v>
      </c>
      <c r="AA100" s="74" t="n">
        <f aca="false">12*AA37</f>
        <v>44100</v>
      </c>
      <c r="AB100" s="74" t="n">
        <f aca="false">12*AB37</f>
        <v>44100</v>
      </c>
    </row>
    <row r="101" customFormat="false" ht="15" hidden="false" customHeight="false" outlineLevel="0" collapsed="false">
      <c r="A101" s="59" t="s">
        <v>1034</v>
      </c>
      <c r="B101" s="60"/>
      <c r="C101" s="61" t="n">
        <f aca="false">SUM(E101:P101)</f>
        <v>1930424.18364448</v>
      </c>
      <c r="D101" s="61" t="n">
        <f aca="false">SUM(Q101:AB101)</f>
        <v>2373871.39370307</v>
      </c>
      <c r="E101" s="61" t="n">
        <f aca="false">SUM(E72:E99)+E100</f>
        <v>354049.2</v>
      </c>
      <c r="F101" s="61" t="n">
        <f aca="false">SUM(F72:F99)+F100</f>
        <v>0</v>
      </c>
      <c r="G101" s="61" t="n">
        <f aca="false">SUM(G72:G99)+G100</f>
        <v>274006.84</v>
      </c>
      <c r="H101" s="61" t="n">
        <f aca="false">SUM(H72:H99)+H100</f>
        <v>202348.2</v>
      </c>
      <c r="I101" s="61" t="n">
        <f aca="false">SUM(I72:I99)+I100</f>
        <v>147622.92</v>
      </c>
      <c r="J101" s="61" t="n">
        <f aca="false">SUM(J72:J99)+J100</f>
        <v>167919.36</v>
      </c>
      <c r="K101" s="61" t="n">
        <f aca="false">SUM(K72:K99)+K100</f>
        <v>132288.72</v>
      </c>
      <c r="L101" s="61" t="n">
        <f aca="false">SUM(L72:L99)+L100</f>
        <v>0</v>
      </c>
      <c r="M101" s="61" t="n">
        <f aca="false">SUM(M72:M99)+M100</f>
        <v>239786.89209168</v>
      </c>
      <c r="N101" s="61" t="n">
        <f aca="false">SUM(N72:N99)+N100</f>
        <v>98416.7763696</v>
      </c>
      <c r="O101" s="61" t="n">
        <f aca="false">SUM(O72:O99)+O100</f>
        <v>259985.2751832</v>
      </c>
      <c r="P101" s="61" t="n">
        <f aca="false">SUM(P72:P99)+P100</f>
        <v>54000</v>
      </c>
      <c r="Q101" s="61" t="n">
        <f aca="false">SUM(Q72:Q99)+Q100</f>
        <v>374943.166866</v>
      </c>
      <c r="R101" s="61" t="n">
        <f aca="false">SUM(R72:R99)+R100</f>
        <v>32400</v>
      </c>
      <c r="S101" s="61" t="n">
        <f aca="false">SUM(S72:S99)+S100</f>
        <v>315327.5440218</v>
      </c>
      <c r="T101" s="61" t="n">
        <f aca="false">SUM(T72:T99)+T100</f>
        <v>242578.6543296</v>
      </c>
      <c r="U101" s="61" t="n">
        <f aca="false">SUM(U72:U99)+U100</f>
        <v>143432.48015712</v>
      </c>
      <c r="V101" s="61" t="n">
        <f aca="false">SUM(V72:V99)+V100</f>
        <v>209689.66723248</v>
      </c>
      <c r="W101" s="61" t="n">
        <f aca="false">SUM(W72:W99)+W100</f>
        <v>178050.77145216</v>
      </c>
      <c r="X101" s="61" t="n">
        <f aca="false">SUM(X72:X99)+X100</f>
        <v>44100</v>
      </c>
      <c r="Y101" s="61" t="n">
        <f aca="false">SUM(Y72:Y99)+Y100</f>
        <v>285927.435563088</v>
      </c>
      <c r="Z101" s="61" t="n">
        <f aca="false">SUM(Z72:Z99)+Z100</f>
        <v>142144.367287817</v>
      </c>
      <c r="AA101" s="61" t="n">
        <f aca="false">SUM(AA72:AA99)+AA100</f>
        <v>305696.356793005</v>
      </c>
      <c r="AB101" s="61" t="n">
        <f aca="false">SUM(AB72:AB99)+AB100</f>
        <v>99580.95</v>
      </c>
    </row>
    <row r="102" customFormat="false" ht="15" hidden="false" customHeight="false" outlineLevel="0" collapsed="false">
      <c r="A102" s="28" t="s">
        <v>1035</v>
      </c>
      <c r="B102" s="63" t="s">
        <v>1036</v>
      </c>
      <c r="C102" s="64" t="n">
        <f aca="false">SUM(E102:P102)</f>
        <v>63800</v>
      </c>
      <c r="D102" s="64" t="n">
        <f aca="false">SUM(Q102:AB102)</f>
        <v>84700</v>
      </c>
      <c r="E102" s="65" t="n">
        <f aca="false">IF(E$5="A",Inputs_Actuals!E212,IF(Assumptions!E$189=Account_Register!$O$29,Account_Register!$I$29*Account_Register!$M$29,0)+IF(Assumptions!E$189=Account_Register!$O$30,Account_Register!$I$30*Account_Register!$M$30,0)+IF(Assumptions!E$189=Account_Register!$O$31,Account_Register!$I$31*Account_Register!$M$31,0)+IF(Assumptions!E$189=Account_Register!$O$32,Account_Register!$I$32*Account_Register!$M$32,0)+IF(Assumptions!E$189=Account_Register!$O$33,Account_Register!$I$33*Account_Register!$M$33,0)+IF(Assumptions!E$189=Account_Register!$O$34,Account_Register!$I$34*Account_Register!$M$34,0)+IF(AND(Assumptions!E$190="F",Assumptions!E$188&gt;=Assumptions!$C$140),Assumptions!$F$174*Assumptions!$C$139,0))</f>
        <v>0</v>
      </c>
      <c r="F102" s="65" t="n">
        <f aca="false">IF(F$5="A",Inputs_Actuals!F212,IF(Assumptions!F$189=Account_Register!$O$29,Account_Register!$I$29*Account_Register!$M$29,0)+IF(Assumptions!F$189=Account_Register!$O$30,Account_Register!$I$30*Account_Register!$M$30,0)+IF(Assumptions!F$189=Account_Register!$O$31,Account_Register!$I$31*Account_Register!$M$31,0)+IF(Assumptions!F$189=Account_Register!$O$32,Account_Register!$I$32*Account_Register!$M$32,0)+IF(Assumptions!F$189=Account_Register!$O$33,Account_Register!$I$33*Account_Register!$M$33,0)+IF(Assumptions!F$189=Account_Register!$O$34,Account_Register!$I$34*Account_Register!$M$34,0)+IF(AND(Assumptions!F$190="F",Assumptions!F$188&gt;=Assumptions!$C$140),Assumptions!$F$174*Assumptions!$C$139,0))</f>
        <v>0</v>
      </c>
      <c r="G102" s="65" t="n">
        <f aca="false">IF(G$5="A",Inputs_Actuals!G212,IF(Assumptions!G$189=Account_Register!$O$29,Account_Register!$I$29*Account_Register!$M$29,0)+IF(Assumptions!G$189=Account_Register!$O$30,Account_Register!$I$30*Account_Register!$M$30,0)+IF(Assumptions!G$189=Account_Register!$O$31,Account_Register!$I$31*Account_Register!$M$31,0)+IF(Assumptions!G$189=Account_Register!$O$32,Account_Register!$I$32*Account_Register!$M$32,0)+IF(Assumptions!G$189=Account_Register!$O$33,Account_Register!$I$33*Account_Register!$M$33,0)+IF(Assumptions!G$189=Account_Register!$O$34,Account_Register!$I$34*Account_Register!$M$34,0)+IF(AND(Assumptions!G$190="F",Assumptions!G$188&gt;=Assumptions!$C$140),Assumptions!$F$174*Assumptions!$C$139,0))</f>
        <v>0</v>
      </c>
      <c r="H102" s="65" t="n">
        <f aca="false">IF(H$5="A",Inputs_Actuals!H212,IF(Assumptions!H$189=Account_Register!$O$29,Account_Register!$I$29*Account_Register!$M$29,0)+IF(Assumptions!H$189=Account_Register!$O$30,Account_Register!$I$30*Account_Register!$M$30,0)+IF(Assumptions!H$189=Account_Register!$O$31,Account_Register!$I$31*Account_Register!$M$31,0)+IF(Assumptions!H$189=Account_Register!$O$32,Account_Register!$I$32*Account_Register!$M$32,0)+IF(Assumptions!H$189=Account_Register!$O$33,Account_Register!$I$33*Account_Register!$M$33,0)+IF(Assumptions!H$189=Account_Register!$O$34,Account_Register!$I$34*Account_Register!$M$34,0)+IF(AND(Assumptions!H$190="F",Assumptions!H$188&gt;=Assumptions!$C$140),Assumptions!$F$174*Assumptions!$C$139,0))</f>
        <v>28000</v>
      </c>
      <c r="I102" s="65" t="n">
        <f aca="false">IF(I$5="A",Inputs_Actuals!I212,IF(Assumptions!I$189=Account_Register!$O$29,Account_Register!$I$29*Account_Register!$M$29,0)+IF(Assumptions!I$189=Account_Register!$O$30,Account_Register!$I$30*Account_Register!$M$30,0)+IF(Assumptions!I$189=Account_Register!$O$31,Account_Register!$I$31*Account_Register!$M$31,0)+IF(Assumptions!I$189=Account_Register!$O$32,Account_Register!$I$32*Account_Register!$M$32,0)+IF(Assumptions!I$189=Account_Register!$O$33,Account_Register!$I$33*Account_Register!$M$33,0)+IF(Assumptions!I$189=Account_Register!$O$34,Account_Register!$I$34*Account_Register!$M$34,0)+IF(AND(Assumptions!I$190="F",Assumptions!I$188&gt;=Assumptions!$C$140),Assumptions!$F$174*Assumptions!$C$139,0))</f>
        <v>0</v>
      </c>
      <c r="J102" s="65" t="n">
        <f aca="false">IF(J$5="A",Inputs_Actuals!J212,IF(Assumptions!J$189=Account_Register!$O$29,Account_Register!$I$29*Account_Register!$M$29,0)+IF(Assumptions!J$189=Account_Register!$O$30,Account_Register!$I$30*Account_Register!$M$30,0)+IF(Assumptions!J$189=Account_Register!$O$31,Account_Register!$I$31*Account_Register!$M$31,0)+IF(Assumptions!J$189=Account_Register!$O$32,Account_Register!$I$32*Account_Register!$M$32,0)+IF(Assumptions!J$189=Account_Register!$O$33,Account_Register!$I$33*Account_Register!$M$33,0)+IF(Assumptions!J$189=Account_Register!$O$34,Account_Register!$I$34*Account_Register!$M$34,0)+IF(AND(Assumptions!J$190="F",Assumptions!J$188&gt;=Assumptions!$C$140),Assumptions!$F$174*Assumptions!$C$139,0))</f>
        <v>0</v>
      </c>
      <c r="K102" s="65" t="n">
        <f aca="false">IF(K$5="A",Inputs_Actuals!K212,IF(Assumptions!K$189=Account_Register!$O$29,Account_Register!$I$29*Account_Register!$M$29,0)+IF(Assumptions!K$189=Account_Register!$O$30,Account_Register!$I$30*Account_Register!$M$30,0)+IF(Assumptions!K$189=Account_Register!$O$31,Account_Register!$I$31*Account_Register!$M$31,0)+IF(Assumptions!K$189=Account_Register!$O$32,Account_Register!$I$32*Account_Register!$M$32,0)+IF(Assumptions!K$189=Account_Register!$O$33,Account_Register!$I$33*Account_Register!$M$33,0)+IF(Assumptions!K$189=Account_Register!$O$34,Account_Register!$I$34*Account_Register!$M$34,0)+IF(AND(Assumptions!K$190="F",Assumptions!K$188&gt;=Assumptions!$C$140),Assumptions!$F$174*Assumptions!$C$139,0))</f>
        <v>14000</v>
      </c>
      <c r="L102" s="65" t="n">
        <f aca="false">IF(L$5="A",Inputs_Actuals!L212,IF(Assumptions!L$189=Account_Register!$O$29,Account_Register!$I$29*Account_Register!$M$29,0)+IF(Assumptions!L$189=Account_Register!$O$30,Account_Register!$I$30*Account_Register!$M$30,0)+IF(Assumptions!L$189=Account_Register!$O$31,Account_Register!$I$31*Account_Register!$M$31,0)+IF(Assumptions!L$189=Account_Register!$O$32,Account_Register!$I$32*Account_Register!$M$32,0)+IF(Assumptions!L$189=Account_Register!$O$33,Account_Register!$I$33*Account_Register!$M$33,0)+IF(Assumptions!L$189=Account_Register!$O$34,Account_Register!$I$34*Account_Register!$M$34,0)+IF(AND(Assumptions!L$190="F",Assumptions!L$188&gt;=Assumptions!$C$140),Assumptions!$F$174*Assumptions!$C$139,0))</f>
        <v>0</v>
      </c>
      <c r="M102" s="65" t="n">
        <f aca="false">IF(M$5="A",Inputs_Actuals!M212,IF(Assumptions!M$189=Account_Register!$O$29,Account_Register!$I$29*Account_Register!$M$29,0)+IF(Assumptions!M$189=Account_Register!$O$30,Account_Register!$I$30*Account_Register!$M$30,0)+IF(Assumptions!M$189=Account_Register!$O$31,Account_Register!$I$31*Account_Register!$M$31,0)+IF(Assumptions!M$189=Account_Register!$O$32,Account_Register!$I$32*Account_Register!$M$32,0)+IF(Assumptions!M$189=Account_Register!$O$33,Account_Register!$I$33*Account_Register!$M$33,0)+IF(Assumptions!M$189=Account_Register!$O$34,Account_Register!$I$34*Account_Register!$M$34,0)+IF(AND(Assumptions!M$190="F",Assumptions!M$188&gt;=Assumptions!$C$140),Assumptions!$F$174*Assumptions!$C$139,0))</f>
        <v>0</v>
      </c>
      <c r="N102" s="65" t="n">
        <f aca="false">IF(N$5="A",Inputs_Actuals!N212,IF(Assumptions!N$189=Account_Register!$O$29,Account_Register!$I$29*Account_Register!$M$29,0)+IF(Assumptions!N$189=Account_Register!$O$30,Account_Register!$I$30*Account_Register!$M$30,0)+IF(Assumptions!N$189=Account_Register!$O$31,Account_Register!$I$31*Account_Register!$M$31,0)+IF(Assumptions!N$189=Account_Register!$O$32,Account_Register!$I$32*Account_Register!$M$32,0)+IF(Assumptions!N$189=Account_Register!$O$33,Account_Register!$I$33*Account_Register!$M$33,0)+IF(Assumptions!N$189=Account_Register!$O$34,Account_Register!$I$34*Account_Register!$M$34,0)+IF(AND(Assumptions!N$190="F",Assumptions!N$188&gt;=Assumptions!$C$140),Assumptions!$F$174*Assumptions!$C$139,0))</f>
        <v>0</v>
      </c>
      <c r="O102" s="65" t="n">
        <f aca="false">IF(O$5="A",Inputs_Actuals!O212,IF(Assumptions!O$189=Account_Register!$O$29,Account_Register!$I$29*Account_Register!$M$29,0)+IF(Assumptions!O$189=Account_Register!$O$30,Account_Register!$I$30*Account_Register!$M$30,0)+IF(Assumptions!O$189=Account_Register!$O$31,Account_Register!$I$31*Account_Register!$M$31,0)+IF(Assumptions!O$189=Account_Register!$O$32,Account_Register!$I$32*Account_Register!$M$32,0)+IF(Assumptions!O$189=Account_Register!$O$33,Account_Register!$I$33*Account_Register!$M$33,0)+IF(Assumptions!O$189=Account_Register!$O$34,Account_Register!$I$34*Account_Register!$M$34,0)+IF(AND(Assumptions!O$190="F",Assumptions!O$188&gt;=Assumptions!$C$140),Assumptions!$F$174*Assumptions!$C$139,0))</f>
        <v>10800</v>
      </c>
      <c r="P102" s="65" t="n">
        <f aca="false">IF(P$5="A",Inputs_Actuals!P212,IF(Assumptions!P$189=Account_Register!$O$29,Account_Register!$I$29*Account_Register!$M$29,0)+IF(Assumptions!P$189=Account_Register!$O$30,Account_Register!$I$30*Account_Register!$M$30,0)+IF(Assumptions!P$189=Account_Register!$O$31,Account_Register!$I$31*Account_Register!$M$31,0)+IF(Assumptions!P$189=Account_Register!$O$32,Account_Register!$I$32*Account_Register!$M$32,0)+IF(Assumptions!P$189=Account_Register!$O$33,Account_Register!$I$33*Account_Register!$M$33,0)+IF(Assumptions!P$189=Account_Register!$O$34,Account_Register!$I$34*Account_Register!$M$34,0)+IF(AND(Assumptions!P$190="F",Assumptions!P$188&gt;=Assumptions!$C$140),Assumptions!$F$174*Assumptions!$C$139,0))</f>
        <v>11000</v>
      </c>
      <c r="Q102" s="65" t="n">
        <f aca="false">IF(Q$5="A",Inputs_Actuals!Q212,IF(Assumptions!Q$189=Account_Register!$O$29,Account_Register!$I$29*Account_Register!$M$29,0)+IF(Assumptions!Q$189=Account_Register!$O$30,Account_Register!$I$30*Account_Register!$M$30,0)+IF(Assumptions!Q$189=Account_Register!$O$31,Account_Register!$I$31*Account_Register!$M$31,0)+IF(Assumptions!Q$189=Account_Register!$O$32,Account_Register!$I$32*Account_Register!$M$32,0)+IF(Assumptions!Q$189=Account_Register!$O$33,Account_Register!$I$33*Account_Register!$M$33,0)+IF(Assumptions!Q$189=Account_Register!$O$34,Account_Register!$I$34*Account_Register!$M$34,0)+IF(AND(Assumptions!Q$190="F",Assumptions!Q$188&gt;=Assumptions!$C$140),Assumptions!$F$174*Assumptions!$C$139,0))</f>
        <v>7200</v>
      </c>
      <c r="R102" s="65" t="n">
        <f aca="false">IF(R$5="A",Inputs_Actuals!R212,IF(Assumptions!R$189=Account_Register!$O$29,Account_Register!$I$29*Account_Register!$M$29,0)+IF(Assumptions!R$189=Account_Register!$O$30,Account_Register!$I$30*Account_Register!$M$30,0)+IF(Assumptions!R$189=Account_Register!$O$31,Account_Register!$I$31*Account_Register!$M$31,0)+IF(Assumptions!R$189=Account_Register!$O$32,Account_Register!$I$32*Account_Register!$M$32,0)+IF(Assumptions!R$189=Account_Register!$O$33,Account_Register!$I$33*Account_Register!$M$33,0)+IF(Assumptions!R$189=Account_Register!$O$34,Account_Register!$I$34*Account_Register!$M$34,0)+IF(AND(Assumptions!R$190="F",Assumptions!R$188&gt;=Assumptions!$C$140),Assumptions!$F$174*Assumptions!$C$139,0))</f>
        <v>6000</v>
      </c>
      <c r="S102" s="65" t="n">
        <f aca="false">IF(S$5="A",Inputs_Actuals!S212,IF(Assumptions!S$189=Account_Register!$O$29,Account_Register!$I$29*Account_Register!$M$29,0)+IF(Assumptions!S$189=Account_Register!$O$30,Account_Register!$I$30*Account_Register!$M$30,0)+IF(Assumptions!S$189=Account_Register!$O$31,Account_Register!$I$31*Account_Register!$M$31,0)+IF(Assumptions!S$189=Account_Register!$O$32,Account_Register!$I$32*Account_Register!$M$32,0)+IF(Assumptions!S$189=Account_Register!$O$33,Account_Register!$I$33*Account_Register!$M$33,0)+IF(Assumptions!S$189=Account_Register!$O$34,Account_Register!$I$34*Account_Register!$M$34,0)+IF(AND(Assumptions!S$190="F",Assumptions!S$188&gt;=Assumptions!$C$140),Assumptions!$F$174*Assumptions!$C$139,0))</f>
        <v>8000</v>
      </c>
      <c r="T102" s="65" t="n">
        <f aca="false">IF(T$5="A",Inputs_Actuals!T212,IF(Assumptions!T$189=Account_Register!$O$29,Account_Register!$I$29*Account_Register!$M$29,0)+IF(Assumptions!T$189=Account_Register!$O$30,Account_Register!$I$30*Account_Register!$M$30,0)+IF(Assumptions!T$189=Account_Register!$O$31,Account_Register!$I$31*Account_Register!$M$31,0)+IF(Assumptions!T$189=Account_Register!$O$32,Account_Register!$I$32*Account_Register!$M$32,0)+IF(Assumptions!T$189=Account_Register!$O$33,Account_Register!$I$33*Account_Register!$M$33,0)+IF(Assumptions!T$189=Account_Register!$O$34,Account_Register!$I$34*Account_Register!$M$34,0)+IF(AND(Assumptions!T$190="F",Assumptions!T$188&gt;=Assumptions!$C$140),Assumptions!$F$174*Assumptions!$C$139,0))</f>
        <v>7500</v>
      </c>
      <c r="U102" s="65" t="n">
        <f aca="false">IF(U$5="A",Inputs_Actuals!U212,IF(Assumptions!U$189=Account_Register!$O$29,Account_Register!$I$29*Account_Register!$M$29,0)+IF(Assumptions!U$189=Account_Register!$O$30,Account_Register!$I$30*Account_Register!$M$30,0)+IF(Assumptions!U$189=Account_Register!$O$31,Account_Register!$I$31*Account_Register!$M$31,0)+IF(Assumptions!U$189=Account_Register!$O$32,Account_Register!$I$32*Account_Register!$M$32,0)+IF(Assumptions!U$189=Account_Register!$O$33,Account_Register!$I$33*Account_Register!$M$33,0)+IF(Assumptions!U$189=Account_Register!$O$34,Account_Register!$I$34*Account_Register!$M$34,0)+IF(AND(Assumptions!U$190="F",Assumptions!U$188&gt;=Assumptions!$C$140),Assumptions!$F$174*Assumptions!$C$139,0))</f>
        <v>0</v>
      </c>
      <c r="V102" s="65" t="n">
        <f aca="false">IF(V$5="A",Inputs_Actuals!V212,IF(Assumptions!V$189=Account_Register!$O$29,Account_Register!$I$29*Account_Register!$M$29,0)+IF(Assumptions!V$189=Account_Register!$O$30,Account_Register!$I$30*Account_Register!$M$30,0)+IF(Assumptions!V$189=Account_Register!$O$31,Account_Register!$I$31*Account_Register!$M$31,0)+IF(Assumptions!V$189=Account_Register!$O$32,Account_Register!$I$32*Account_Register!$M$32,0)+IF(Assumptions!V$189=Account_Register!$O$33,Account_Register!$I$33*Account_Register!$M$33,0)+IF(Assumptions!V$189=Account_Register!$O$34,Account_Register!$I$34*Account_Register!$M$34,0)+IF(AND(Assumptions!V$190="F",Assumptions!V$188&gt;=Assumptions!$C$140),Assumptions!$F$174*Assumptions!$C$139,0))</f>
        <v>8000</v>
      </c>
      <c r="W102" s="65" t="n">
        <f aca="false">IF(W$5="A",Inputs_Actuals!W212,IF(Assumptions!W$189=Account_Register!$O$29,Account_Register!$I$29*Account_Register!$M$29,0)+IF(Assumptions!W$189=Account_Register!$O$30,Account_Register!$I$30*Account_Register!$M$30,0)+IF(Assumptions!W$189=Account_Register!$O$31,Account_Register!$I$31*Account_Register!$M$31,0)+IF(Assumptions!W$189=Account_Register!$O$32,Account_Register!$I$32*Account_Register!$M$32,0)+IF(Assumptions!W$189=Account_Register!$O$33,Account_Register!$I$33*Account_Register!$M$33,0)+IF(Assumptions!W$189=Account_Register!$O$34,Account_Register!$I$34*Account_Register!$M$34,0)+IF(AND(Assumptions!W$190="F",Assumptions!W$188&gt;=Assumptions!$C$140),Assumptions!$F$174*Assumptions!$C$139,0))</f>
        <v>8000</v>
      </c>
      <c r="X102" s="65" t="n">
        <f aca="false">IF(X$5="A",Inputs_Actuals!X212,IF(Assumptions!X$189=Account_Register!$O$29,Account_Register!$I$29*Account_Register!$M$29,0)+IF(Assumptions!X$189=Account_Register!$O$30,Account_Register!$I$30*Account_Register!$M$30,0)+IF(Assumptions!X$189=Account_Register!$O$31,Account_Register!$I$31*Account_Register!$M$31,0)+IF(Assumptions!X$189=Account_Register!$O$32,Account_Register!$I$32*Account_Register!$M$32,0)+IF(Assumptions!X$189=Account_Register!$O$33,Account_Register!$I$33*Account_Register!$M$33,0)+IF(Assumptions!X$189=Account_Register!$O$34,Account_Register!$I$34*Account_Register!$M$34,0)+IF(AND(Assumptions!X$190="F",Assumptions!X$188&gt;=Assumptions!$C$140),Assumptions!$F$174*Assumptions!$C$139,0))</f>
        <v>8000</v>
      </c>
      <c r="Y102" s="65" t="n">
        <f aca="false">IF(Y$5="A",Inputs_Actuals!Y212,IF(Assumptions!Y$189=Account_Register!$O$29,Account_Register!$I$29*Account_Register!$M$29,0)+IF(Assumptions!Y$189=Account_Register!$O$30,Account_Register!$I$30*Account_Register!$M$30,0)+IF(Assumptions!Y$189=Account_Register!$O$31,Account_Register!$I$31*Account_Register!$M$31,0)+IF(Assumptions!Y$189=Account_Register!$O$32,Account_Register!$I$32*Account_Register!$M$32,0)+IF(Assumptions!Y$189=Account_Register!$O$33,Account_Register!$I$33*Account_Register!$M$33,0)+IF(Assumptions!Y$189=Account_Register!$O$34,Account_Register!$I$34*Account_Register!$M$34,0)+IF(AND(Assumptions!Y$190="F",Assumptions!Y$188&gt;=Assumptions!$C$140),Assumptions!$F$174*Assumptions!$C$139,0))</f>
        <v>8000</v>
      </c>
      <c r="Z102" s="65" t="n">
        <f aca="false">IF(Z$5="A",Inputs_Actuals!Z212,IF(Assumptions!Z$189=Account_Register!$O$29,Account_Register!$I$29*Account_Register!$M$29,0)+IF(Assumptions!Z$189=Account_Register!$O$30,Account_Register!$I$30*Account_Register!$M$30,0)+IF(Assumptions!Z$189=Account_Register!$O$31,Account_Register!$I$31*Account_Register!$M$31,0)+IF(Assumptions!Z$189=Account_Register!$O$32,Account_Register!$I$32*Account_Register!$M$32,0)+IF(Assumptions!Z$189=Account_Register!$O$33,Account_Register!$I$33*Account_Register!$M$33,0)+IF(Assumptions!Z$189=Account_Register!$O$34,Account_Register!$I$34*Account_Register!$M$34,0)+IF(AND(Assumptions!Z$190="F",Assumptions!Z$188&gt;=Assumptions!$C$140),Assumptions!$F$174*Assumptions!$C$139,0))</f>
        <v>8000</v>
      </c>
      <c r="AA102" s="65" t="n">
        <f aca="false">IF(AA$5="A",Inputs_Actuals!AA212,IF(Assumptions!AA$189=Account_Register!$O$29,Account_Register!$I$29*Account_Register!$M$29,0)+IF(Assumptions!AA$189=Account_Register!$O$30,Account_Register!$I$30*Account_Register!$M$30,0)+IF(Assumptions!AA$189=Account_Register!$O$31,Account_Register!$I$31*Account_Register!$M$31,0)+IF(Assumptions!AA$189=Account_Register!$O$32,Account_Register!$I$32*Account_Register!$M$32,0)+IF(Assumptions!AA$189=Account_Register!$O$33,Account_Register!$I$33*Account_Register!$M$33,0)+IF(Assumptions!AA$189=Account_Register!$O$34,Account_Register!$I$34*Account_Register!$M$34,0)+IF(AND(Assumptions!AA$190="F",Assumptions!AA$188&gt;=Assumptions!$C$140),Assumptions!$F$174*Assumptions!$C$139,0))</f>
        <v>8000</v>
      </c>
      <c r="AB102" s="65" t="n">
        <f aca="false">IF(AB$5="A",Inputs_Actuals!AB212,IF(Assumptions!AB$189=Account_Register!$O$29,Account_Register!$I$29*Account_Register!$M$29,0)+IF(Assumptions!AB$189=Account_Register!$O$30,Account_Register!$I$30*Account_Register!$M$30,0)+IF(Assumptions!AB$189=Account_Register!$O$31,Account_Register!$I$31*Account_Register!$M$31,0)+IF(Assumptions!AB$189=Account_Register!$O$32,Account_Register!$I$32*Account_Register!$M$32,0)+IF(Assumptions!AB$189=Account_Register!$O$33,Account_Register!$I$33*Account_Register!$M$33,0)+IF(Assumptions!AB$189=Account_Register!$O$34,Account_Register!$I$34*Account_Register!$M$34,0)+IF(AND(Assumptions!AB$190="F",Assumptions!AB$188&gt;=Assumptions!$C$140),Assumptions!$F$174*Assumptions!$C$139,0))</f>
        <v>8000</v>
      </c>
    </row>
    <row r="103" customFormat="false" ht="15" hidden="false" customHeight="false" outlineLevel="0" collapsed="false">
      <c r="A103" s="28" t="s">
        <v>1037</v>
      </c>
      <c r="B103" s="63" t="s">
        <v>1038</v>
      </c>
      <c r="C103" s="64" t="n">
        <f aca="false">SUM(E103:P103)</f>
        <v>245658.756263088</v>
      </c>
      <c r="D103" s="64" t="n">
        <f aca="false">SUM(Q103:AB103)</f>
        <v>285823.761541483</v>
      </c>
      <c r="E103" s="65" t="n">
        <f aca="false">Assumptions!$C$18*(E72+E73+E74+E75+E79+E80+E81+E83+E88+E90+E92+IF(Assumptions!E$189=4,Account_Register!$I$27,0)+E94+IF(Assumptions!E$189=Account_Register!$O$29,Account_Register!$I$29*Account_Register!$M$29,0)+E99+IF(Assumptions!E$189=Account_Register!$O$34,Account_Register!$I$34*Account_Register!$M$34,0)+Assumptions!$C$26*(E100+IF(AND(Assumptions!E$190="F",Assumptions!E$188&gt;=Assumptions!$C$140),Assumptions!$F$174*Assumptions!$C$139,0)))</f>
        <v>54500.7204</v>
      </c>
      <c r="F103" s="65" t="n">
        <f aca="false">Assumptions!$C$18*(F72+F73+F74+F75+F79+F80+F81+F83+F88+F90+F92+IF(Assumptions!F$189=4,Account_Register!$I$27,0)+F94+IF(Assumptions!F$189=Account_Register!$O$29,Account_Register!$I$29*Account_Register!$M$29,0)+F99+IF(Assumptions!F$189=Account_Register!$O$34,Account_Register!$I$34*Account_Register!$M$34,0)+Assumptions!$C$26*(F100+IF(AND(Assumptions!F$190="F",Assumptions!F$188&gt;=Assumptions!$C$140),Assumptions!$F$174*Assumptions!$C$139,0)))</f>
        <v>0</v>
      </c>
      <c r="G103" s="65" t="n">
        <f aca="false">Assumptions!$C$18*(G72+G73+G74+G75+G79+G80+G81+G83+G88+G90+G92+IF(Assumptions!G$189=4,Account_Register!$I$27,0)+G94+IF(Assumptions!G$189=Account_Register!$O$29,Account_Register!$I$29*Account_Register!$M$29,0)+G99+IF(Assumptions!G$189=Account_Register!$O$34,Account_Register!$I$34*Account_Register!$M$34,0)+Assumptions!$C$26*(G100+IF(AND(Assumptions!G$190="F",Assumptions!G$188&gt;=Assumptions!$C$140),Assumptions!$F$174*Assumptions!$C$139,0)))</f>
        <v>42473.214</v>
      </c>
      <c r="H103" s="65" t="n">
        <f aca="false">Assumptions!$C$18*(H72+H73+H74+H75+H79+H80+H81+H83+H88+H90+H92+IF(Assumptions!H$189=4,Account_Register!$I$27,0)+H94+IF(Assumptions!H$189=Account_Register!$O$29,Account_Register!$I$29*Account_Register!$M$29,0)+H99+IF(Assumptions!H$189=Account_Register!$O$34,Account_Register!$I$34*Account_Register!$M$34,0)+Assumptions!$C$26*(H100+IF(AND(Assumptions!H$190="F",Assumptions!H$188&gt;=Assumptions!$C$140),Assumptions!$F$174*Assumptions!$C$139,0)))</f>
        <v>34860</v>
      </c>
      <c r="I103" s="65" t="n">
        <f aca="false">Assumptions!$C$18*(I72+I73+I74+I75+I79+I80+I81+I83+I88+I90+I92+IF(Assumptions!I$189=4,Account_Register!$I$27,0)+I94+IF(Assumptions!I$189=Account_Register!$O$29,Account_Register!$I$29*Account_Register!$M$29,0)+I99+IF(Assumptions!I$189=Account_Register!$O$34,Account_Register!$I$34*Account_Register!$M$34,0)+Assumptions!$C$26*(I100+IF(AND(Assumptions!I$190="F",Assumptions!I$188&gt;=Assumptions!$C$140),Assumptions!$F$174*Assumptions!$C$139,0)))</f>
        <v>13033.1124</v>
      </c>
      <c r="J103" s="65" t="n">
        <f aca="false">Assumptions!$C$18*(J72+J73+J74+J75+J79+J80+J81+J83+J88+J90+J92+IF(Assumptions!J$189=4,Account_Register!$I$27,0)+J94+IF(Assumptions!J$189=Account_Register!$O$29,Account_Register!$I$29*Account_Register!$M$29,0)+J99+IF(Assumptions!J$189=Account_Register!$O$34,Account_Register!$I$34*Account_Register!$M$34,0)+Assumptions!$C$26*(J100+IF(AND(Assumptions!J$190="F",Assumptions!J$188&gt;=Assumptions!$C$140),Assumptions!$F$174*Assumptions!$C$139,0)))</f>
        <v>35263.0656</v>
      </c>
      <c r="K103" s="65" t="n">
        <f aca="false">Assumptions!$C$18*(K72+K73+K74+K75+K79+K80+K81+K83+K88+K90+K92+IF(Assumptions!K$189=4,Account_Register!$I$27,0)+K94+IF(Assumptions!K$189=Account_Register!$O$29,Account_Register!$I$29*Account_Register!$M$29,0)+K99+IF(Assumptions!K$189=Account_Register!$O$34,Account_Register!$I$34*Account_Register!$M$34,0)+Assumptions!$C$26*(K100+IF(AND(Assumptions!K$190="F",Assumptions!K$188&gt;=Assumptions!$C$140),Assumptions!$F$174*Assumptions!$C$139,0)))</f>
        <v>0</v>
      </c>
      <c r="L103" s="65" t="n">
        <f aca="false">Assumptions!$C$18*(L72+L73+L74+L75+L79+L80+L81+L83+L88+L90+L92+IF(Assumptions!L$189=4,Account_Register!$I$27,0)+L94+IF(Assumptions!L$189=Account_Register!$O$29,Account_Register!$I$29*Account_Register!$M$29,0)+L99+IF(Assumptions!L$189=Account_Register!$O$34,Account_Register!$I$34*Account_Register!$M$34,0)+Assumptions!$C$26*(L100+IF(AND(Assumptions!L$190="F",Assumptions!L$188&gt;=Assumptions!$C$140),Assumptions!$F$174*Assumptions!$C$139,0)))</f>
        <v>0</v>
      </c>
      <c r="M103" s="65" t="n">
        <f aca="false">Assumptions!$C$18*(M72+M73+M74+M75+M79+M80+M81+M83+M88+M90+M92+IF(Assumptions!M$189=4,Account_Register!$I$27,0)+M94+IF(Assumptions!M$189=Account_Register!$O$29,Account_Register!$I$29*Account_Register!$M$29,0)+M99+IF(Assumptions!M$189=Account_Register!$O$34,Account_Register!$I$34*Account_Register!$M$34,0)+Assumptions!$C$26*(M100+IF(AND(Assumptions!M$190="F",Assumptions!M$188&gt;=Assumptions!$C$140),Assumptions!$F$174*Assumptions!$C$139,0)))</f>
        <v>15534.666</v>
      </c>
      <c r="N103" s="65" t="n">
        <f aca="false">Assumptions!$C$18*(N72+N73+N74+N75+N79+N80+N81+N83+N88+N90+N92+IF(Assumptions!N$189=4,Account_Register!$I$27,0)+N94+IF(Assumptions!N$189=Account_Register!$O$29,Account_Register!$I$29*Account_Register!$M$29,0)+N99+IF(Assumptions!N$189=Account_Register!$O$34,Account_Register!$I$34*Account_Register!$M$34,0)+Assumptions!$C$26*(N100+IF(AND(Assumptions!N$190="F",Assumptions!N$188&gt;=Assumptions!$C$140),Assumptions!$F$174*Assumptions!$C$139,0)))</f>
        <v>20667.523037616</v>
      </c>
      <c r="O103" s="65" t="n">
        <f aca="false">Assumptions!$C$18*(O72+O73+O74+O75+O79+O80+O81+O83+O88+O90+O92+IF(Assumptions!O$189=4,Account_Register!$I$27,0)+O94+IF(Assumptions!O$189=Account_Register!$O$29,Account_Register!$I$29*Account_Register!$M$29,0)+O99+IF(Assumptions!O$189=Account_Register!$O$34,Account_Register!$I$34*Account_Register!$M$34,0)+Assumptions!$C$26*(O100+IF(AND(Assumptions!O$190="F",Assumptions!O$188&gt;=Assumptions!$C$140),Assumptions!$F$174*Assumptions!$C$139,0)))</f>
        <v>29326.454825472</v>
      </c>
      <c r="P103" s="65" t="n">
        <f aca="false">Assumptions!$C$18*(P72+P73+P74+P75+P79+P80+P81+P83+P88+P90+P92+IF(Assumptions!P$189=4,Account_Register!$I$27,0)+P94+IF(Assumptions!P$189=Account_Register!$O$29,Account_Register!$I$29*Account_Register!$M$29,0)+P99+IF(Assumptions!P$189=Account_Register!$O$34,Account_Register!$I$34*Account_Register!$M$34,0)+Assumptions!$C$26*(P100+IF(AND(Assumptions!P$190="F",Assumptions!P$188&gt;=Assumptions!$C$140),Assumptions!$F$174*Assumptions!$C$139,0)))</f>
        <v>0</v>
      </c>
      <c r="Q103" s="65" t="n">
        <f aca="false">Assumptions!$C$18*(Q72+Q73+Q74+Q75+Q79+Q80+Q81+Q83+Q88+Q90+Q92+IF(Assumptions!Q$189=4,Account_Register!$I$27,0)+Q94+IF(Assumptions!Q$189=Account_Register!$O$29,Account_Register!$I$29*Account_Register!$M$29,0)+Q99+IF(Assumptions!Q$189=Account_Register!$O$34,Account_Register!$I$34*Account_Register!$M$34,0)+Assumptions!$C$26*(Q100+IF(AND(Assumptions!Q$190="F",Assumptions!Q$188&gt;=Assumptions!$C$140),Assumptions!$F$174*Assumptions!$C$139,0)))</f>
        <v>49160.70014373</v>
      </c>
      <c r="R103" s="65" t="n">
        <f aca="false">Assumptions!$C$18*(R72+R73+R74+R75+R79+R80+R81+R83+R88+R90+R92+IF(Assumptions!R$189=4,Account_Register!$I$27,0)+R94+IF(Assumptions!R$189=Account_Register!$O$29,Account_Register!$I$29*Account_Register!$M$29,0)+R99+IF(Assumptions!R$189=Account_Register!$O$34,Account_Register!$I$34*Account_Register!$M$34,0)+Assumptions!$C$26*(R100+IF(AND(Assumptions!R$190="F",Assumptions!R$188&gt;=Assumptions!$C$140),Assumptions!$F$174*Assumptions!$C$139,0)))</f>
        <v>0</v>
      </c>
      <c r="S103" s="65" t="n">
        <f aca="false">Assumptions!$C$18*(S72+S73+S74+S75+S79+S80+S81+S83+S88+S90+S92+IF(Assumptions!S$189=4,Account_Register!$I$27,0)+S94+IF(Assumptions!S$189=Account_Register!$O$29,Account_Register!$I$29*Account_Register!$M$29,0)+S99+IF(Assumptions!S$189=Account_Register!$O$34,Account_Register!$I$34*Account_Register!$M$34,0)+Assumptions!$C$26*(S100+IF(AND(Assumptions!S$190="F",Assumptions!S$188&gt;=Assumptions!$C$140),Assumptions!$F$174*Assumptions!$C$139,0)))</f>
        <v>44809.6175181396</v>
      </c>
      <c r="T103" s="65" t="n">
        <f aca="false">Assumptions!$C$18*(T72+T73+T74+T75+T79+T80+T81+T83+T88+T90+T92+IF(Assumptions!T$189=4,Account_Register!$I$27,0)+T94+IF(Assumptions!T$189=Account_Register!$O$29,Account_Register!$I$29*Account_Register!$M$29,0)+T99+IF(Assumptions!T$189=Account_Register!$O$34,Account_Register!$I$34*Account_Register!$M$34,0)+Assumptions!$C$26*(T100+IF(AND(Assumptions!T$190="F",Assumptions!T$188&gt;=Assumptions!$C$140),Assumptions!$F$174*Assumptions!$C$139,0)))</f>
        <v>38909.7765</v>
      </c>
      <c r="U103" s="65" t="n">
        <f aca="false">Assumptions!$C$18*(U72+U73+U74+U75+U79+U80+U81+U83+U88+U90+U92+IF(Assumptions!U$189=4,Account_Register!$I$27,0)+U94+IF(Assumptions!U$189=Account_Register!$O$29,Account_Register!$I$29*Account_Register!$M$29,0)+U99+IF(Assumptions!U$189=Account_Register!$O$34,Account_Register!$I$34*Account_Register!$M$34,0)+Assumptions!$C$26*(U100+IF(AND(Assumptions!U$190="F",Assumptions!U$188&gt;=Assumptions!$C$140),Assumptions!$F$174*Assumptions!$C$139,0)))</f>
        <v>11854.6765227072</v>
      </c>
      <c r="V103" s="65" t="n">
        <f aca="false">Assumptions!$C$18*(V72+V73+V74+V75+V79+V80+V81+V83+V88+V90+V92+IF(Assumptions!V$189=4,Account_Register!$I$27,0)+V94+IF(Assumptions!V$189=Account_Register!$O$29,Account_Register!$I$29*Account_Register!$M$29,0)+V99+IF(Assumptions!V$189=Account_Register!$O$34,Account_Register!$I$34*Account_Register!$M$34,0)+Assumptions!$C$26*(V100+IF(AND(Assumptions!V$190="F",Assumptions!V$188&gt;=Assumptions!$C$140),Assumptions!$F$174*Assumptions!$C$139,0)))</f>
        <v>40791.3801188208</v>
      </c>
      <c r="W103" s="65" t="n">
        <f aca="false">Assumptions!$C$18*(W72+W73+W74+W75+W79+W80+W81+W83+W88+W90+W92+IF(Assumptions!W$189=4,Account_Register!$I$27,0)+W94+IF(Assumptions!W$189=Account_Register!$O$29,Account_Register!$I$29*Account_Register!$M$29,0)+W99+IF(Assumptions!W$189=Account_Register!$O$34,Account_Register!$I$34*Account_Register!$M$34,0)+Assumptions!$C$26*(W100+IF(AND(Assumptions!W$190="F",Assumptions!W$188&gt;=Assumptions!$C$140),Assumptions!$F$174*Assumptions!$C$139,0)))</f>
        <v>6017.55</v>
      </c>
      <c r="X103" s="65" t="n">
        <f aca="false">Assumptions!$C$18*(X72+X73+X74+X75+X79+X80+X81+X83+X88+X90+X92+IF(Assumptions!X$189=4,Account_Register!$I$27,0)+X94+IF(Assumptions!X$189=Account_Register!$O$29,Account_Register!$I$29*Account_Register!$M$29,0)+X99+IF(Assumptions!X$189=Account_Register!$O$34,Account_Register!$I$34*Account_Register!$M$34,0)+Assumptions!$C$26*(X100+IF(AND(Assumptions!X$190="F",Assumptions!X$188&gt;=Assumptions!$C$140),Assumptions!$F$174*Assumptions!$C$139,0)))</f>
        <v>6017.55</v>
      </c>
      <c r="Y103" s="65" t="n">
        <f aca="false">Assumptions!$C$18*(Y72+Y73+Y74+Y75+Y79+Y80+Y81+Y83+Y88+Y90+Y92+IF(Assumptions!Y$189=4,Account_Register!$I$27,0)+Y94+IF(Assumptions!Y$189=Account_Register!$O$29,Account_Register!$I$29*Account_Register!$M$29,0)+Y99+IF(Assumptions!Y$189=Account_Register!$O$34,Account_Register!$I$34*Account_Register!$M$34,0)+Assumptions!$C$26*(Y100+IF(AND(Assumptions!Y$190="F",Assumptions!Y$188&gt;=Assumptions!$C$140),Assumptions!$F$174*Assumptions!$C$139,0)))</f>
        <v>21978.25421505</v>
      </c>
      <c r="Z103" s="65" t="n">
        <f aca="false">Assumptions!$C$18*(Z72+Z73+Z74+Z75+Z79+Z80+Z81+Z83+Z88+Z90+Z92+IF(Assumptions!Z$189=4,Account_Register!$I$27,0)+Z94+IF(Assumptions!Z$189=Account_Register!$O$29,Account_Register!$I$29*Account_Register!$M$29,0)+Z99+IF(Assumptions!Z$189=Account_Register!$O$34,Account_Register!$I$34*Account_Register!$M$34,0)+Assumptions!$C$26*(Z100+IF(AND(Assumptions!Z$190="F",Assumptions!Z$188&gt;=Assumptions!$C$140),Assumptions!$F$174*Assumptions!$C$139,0)))</f>
        <v>26606.8671304417</v>
      </c>
      <c r="AA103" s="65" t="n">
        <f aca="false">Assumptions!$C$18*(AA72+AA73+AA74+AA75+AA79+AA80+AA81+AA83+AA88+AA90+AA92+IF(Assumptions!AA$189=4,Account_Register!$I$27,0)+AA94+IF(Assumptions!AA$189=Account_Register!$O$29,Account_Register!$I$29*Account_Register!$M$29,0)+AA99+IF(Assumptions!AA$189=Account_Register!$O$34,Account_Register!$I$34*Account_Register!$M$34,0)+Assumptions!$C$26*(AA100+IF(AND(Assumptions!AA$190="F",Assumptions!AA$188&gt;=Assumptions!$C$140),Assumptions!$F$174*Assumptions!$C$139,0)))</f>
        <v>33659.8393925933</v>
      </c>
      <c r="AB103" s="65" t="n">
        <f aca="false">Assumptions!$C$18*(AB72+AB73+AB74+AB75+AB79+AB80+AB81+AB83+AB88+AB90+AB92+IF(Assumptions!AB$189=4,Account_Register!$I$27,0)+AB94+IF(Assumptions!AB$189=Account_Register!$O$29,Account_Register!$I$29*Account_Register!$M$29,0)+AB99+IF(Assumptions!AB$189=Account_Register!$O$34,Account_Register!$I$34*Account_Register!$M$34,0)+Assumptions!$C$26*(AB100+IF(AND(Assumptions!AB$190="F",Assumptions!AB$188&gt;=Assumptions!$C$140),Assumptions!$F$174*Assumptions!$C$139,0)))</f>
        <v>6017.55</v>
      </c>
    </row>
    <row r="104" customFormat="false" ht="15" hidden="false" customHeight="false" outlineLevel="0" collapsed="false">
      <c r="A104" s="22" t="s">
        <v>1039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row>
    <row r="105" customFormat="false" ht="15" hidden="false" customHeight="false" outlineLevel="0" collapsed="false">
      <c r="A105" s="28" t="s">
        <v>731</v>
      </c>
      <c r="B105" s="63"/>
      <c r="E105" s="65" t="n">
        <f aca="false">SUMIFS(Account_Register!$H$7:$H$28,Account_Register!$F$7:$F$28,"&lt;=0")</f>
        <v>133828.86</v>
      </c>
      <c r="F105" s="74" t="n">
        <f aca="false">E39</f>
        <v>136166.76</v>
      </c>
      <c r="G105" s="74" t="n">
        <f aca="false">F39</f>
        <v>129278.44</v>
      </c>
      <c r="H105" s="74" t="n">
        <f aca="false">G39</f>
        <v>131583.25</v>
      </c>
      <c r="I105" s="74" t="n">
        <f aca="false">H39</f>
        <v>143348.3</v>
      </c>
      <c r="J105" s="74" t="n">
        <f aca="false">I39</f>
        <v>145028.7</v>
      </c>
      <c r="K105" s="74" t="n">
        <f aca="false">J39</f>
        <v>146087.19</v>
      </c>
      <c r="L105" s="74" t="n">
        <f aca="false">K39</f>
        <v>152311.25</v>
      </c>
      <c r="M105" s="74" t="n">
        <f aca="false">L39</f>
        <v>152311.25</v>
      </c>
      <c r="N105" s="74" t="n">
        <f aca="false">M39</f>
        <v>152476.30100764</v>
      </c>
      <c r="O105" s="74" t="n">
        <f aca="false">N39</f>
        <v>152445.14903844</v>
      </c>
      <c r="P105" s="74" t="n">
        <f aca="false">O39</f>
        <v>156772.84863704</v>
      </c>
      <c r="Q105" s="74" t="n">
        <f aca="false">P39</f>
        <v>161272.84863704</v>
      </c>
      <c r="R105" s="74" t="n">
        <f aca="false">Q39</f>
        <v>161864.01254254</v>
      </c>
      <c r="S105" s="74" t="n">
        <f aca="false">R39</f>
        <v>164564.01254254</v>
      </c>
      <c r="T105" s="74" t="n">
        <f aca="false">S39</f>
        <v>167990.73787769</v>
      </c>
      <c r="U105" s="74" t="n">
        <f aca="false">T39</f>
        <v>171343.27573849</v>
      </c>
      <c r="V105" s="74" t="n">
        <f aca="false">U39</f>
        <v>171494.07241825</v>
      </c>
      <c r="W105" s="74" t="n">
        <f aca="false">V39</f>
        <v>175237.43135429</v>
      </c>
      <c r="X105" s="74" t="n">
        <f aca="false">W39</f>
        <v>179050.93564197</v>
      </c>
      <c r="Y105" s="74" t="n">
        <f aca="false">X39</f>
        <v>182725.93564197</v>
      </c>
      <c r="Z105" s="74" t="n">
        <f aca="false">Y39</f>
        <v>186570.980931254</v>
      </c>
      <c r="AA105" s="74" t="n">
        <f aca="false">Z39</f>
        <v>190214.946841106</v>
      </c>
      <c r="AB105" s="74" t="n">
        <f aca="false">AA39</f>
        <v>194024.203641923</v>
      </c>
    </row>
    <row r="106" customFormat="false" ht="15" hidden="false" customHeight="false" outlineLevel="0" collapsed="false">
      <c r="A106" s="28" t="s">
        <v>1040</v>
      </c>
      <c r="B106" s="63"/>
      <c r="C106" s="64" t="n">
        <f aca="false">SUM(E106:P106)</f>
        <v>26120</v>
      </c>
      <c r="D106" s="64" t="n">
        <f aca="false">SUM(Q106:AB106)</f>
        <v>37470</v>
      </c>
      <c r="E106" s="65" t="n">
        <f aca="false">IF(E$5="A",Inputs_Actuals!E204,IF(Assumptions!E$189=Account_Register!$O$29,Account_Register!$H$29*Account_Register!$M$29,0)+IF(Assumptions!E$189=Account_Register!$O$30,Account_Register!$H$30*Account_Register!$M$30,0)+IF(Assumptions!E$189=Account_Register!$O$31,Account_Register!$H$31*Account_Register!$M$31,0)+IF(Assumptions!E$189=Account_Register!$O$32,Account_Register!$H$32*Account_Register!$M$32,0)+IF(Assumptions!E$189=Account_Register!$O$33,Account_Register!$H$33*Account_Register!$M$33,0)+IF(Assumptions!E$189=Account_Register!$O$34,Account_Register!$H$34*Account_Register!$M$34,0)+E37)</f>
        <v>0</v>
      </c>
      <c r="F106" s="65" t="n">
        <f aca="false">IF(F$5="A",Inputs_Actuals!F204,IF(Assumptions!F$189=Account_Register!$O$29,Account_Register!$H$29*Account_Register!$M$29,0)+IF(Assumptions!F$189=Account_Register!$O$30,Account_Register!$H$30*Account_Register!$M$30,0)+IF(Assumptions!F$189=Account_Register!$O$31,Account_Register!$H$31*Account_Register!$M$31,0)+IF(Assumptions!F$189=Account_Register!$O$32,Account_Register!$H$32*Account_Register!$M$32,0)+IF(Assumptions!F$189=Account_Register!$O$33,Account_Register!$H$33*Account_Register!$M$33,0)+IF(Assumptions!F$189=Account_Register!$O$34,Account_Register!$H$34*Account_Register!$M$34,0)+F37)</f>
        <v>0</v>
      </c>
      <c r="G106" s="65" t="n">
        <f aca="false">IF(G$5="A",Inputs_Actuals!G204,IF(Assumptions!G$189=Account_Register!$O$29,Account_Register!$H$29*Account_Register!$M$29,0)+IF(Assumptions!G$189=Account_Register!$O$30,Account_Register!$H$30*Account_Register!$M$30,0)+IF(Assumptions!G$189=Account_Register!$O$31,Account_Register!$H$31*Account_Register!$M$31,0)+IF(Assumptions!G$189=Account_Register!$O$32,Account_Register!$H$32*Account_Register!$M$32,0)+IF(Assumptions!G$189=Account_Register!$O$33,Account_Register!$H$33*Account_Register!$M$33,0)+IF(Assumptions!G$189=Account_Register!$O$34,Account_Register!$H$34*Account_Register!$M$34,0)+G37)</f>
        <v>0</v>
      </c>
      <c r="H106" s="65" t="n">
        <f aca="false">IF(H$5="A",Inputs_Actuals!H204,IF(Assumptions!H$189=Account_Register!$O$29,Account_Register!$H$29*Account_Register!$M$29,0)+IF(Assumptions!H$189=Account_Register!$O$30,Account_Register!$H$30*Account_Register!$M$30,0)+IF(Assumptions!H$189=Account_Register!$O$31,Account_Register!$H$31*Account_Register!$M$31,0)+IF(Assumptions!H$189=Account_Register!$O$32,Account_Register!$H$32*Account_Register!$M$32,0)+IF(Assumptions!H$189=Account_Register!$O$33,Account_Register!$H$33*Account_Register!$M$33,0)+IF(Assumptions!H$189=Account_Register!$O$34,Account_Register!$H$34*Account_Register!$M$34,0)+H37)</f>
        <v>11500</v>
      </c>
      <c r="I106" s="65" t="n">
        <f aca="false">IF(I$5="A",Inputs_Actuals!I204,IF(Assumptions!I$189=Account_Register!$O$29,Account_Register!$H$29*Account_Register!$M$29,0)+IF(Assumptions!I$189=Account_Register!$O$30,Account_Register!$H$30*Account_Register!$M$30,0)+IF(Assumptions!I$189=Account_Register!$O$31,Account_Register!$H$31*Account_Register!$M$31,0)+IF(Assumptions!I$189=Account_Register!$O$32,Account_Register!$H$32*Account_Register!$M$32,0)+IF(Assumptions!I$189=Account_Register!$O$33,Account_Register!$H$33*Account_Register!$M$33,0)+IF(Assumptions!I$189=Account_Register!$O$34,Account_Register!$H$34*Account_Register!$M$34,0)+I37)</f>
        <v>0</v>
      </c>
      <c r="J106" s="65" t="n">
        <f aca="false">IF(J$5="A",Inputs_Actuals!J204,IF(Assumptions!J$189=Account_Register!$O$29,Account_Register!$H$29*Account_Register!$M$29,0)+IF(Assumptions!J$189=Account_Register!$O$30,Account_Register!$H$30*Account_Register!$M$30,0)+IF(Assumptions!J$189=Account_Register!$O$31,Account_Register!$H$31*Account_Register!$M$31,0)+IF(Assumptions!J$189=Account_Register!$O$32,Account_Register!$H$32*Account_Register!$M$32,0)+IF(Assumptions!J$189=Account_Register!$O$33,Account_Register!$H$33*Account_Register!$M$33,0)+IF(Assumptions!J$189=Account_Register!$O$34,Account_Register!$H$34*Account_Register!$M$34,0)+J37)</f>
        <v>0</v>
      </c>
      <c r="K106" s="65" t="n">
        <f aca="false">IF(K$5="A",Inputs_Actuals!K204,IF(Assumptions!K$189=Account_Register!$O$29,Account_Register!$H$29*Account_Register!$M$29,0)+IF(Assumptions!K$189=Account_Register!$O$30,Account_Register!$H$30*Account_Register!$M$30,0)+IF(Assumptions!K$189=Account_Register!$O$31,Account_Register!$H$31*Account_Register!$M$31,0)+IF(Assumptions!K$189=Account_Register!$O$32,Account_Register!$H$32*Account_Register!$M$32,0)+IF(Assumptions!K$189=Account_Register!$O$33,Account_Register!$H$33*Account_Register!$M$33,0)+IF(Assumptions!K$189=Account_Register!$O$34,Account_Register!$H$34*Account_Register!$M$34,0)+K37)</f>
        <v>5800</v>
      </c>
      <c r="L106" s="65" t="n">
        <f aca="false">IF(L$5="A",Inputs_Actuals!L204,IF(Assumptions!L$189=Account_Register!$O$29,Account_Register!$H$29*Account_Register!$M$29,0)+IF(Assumptions!L$189=Account_Register!$O$30,Account_Register!$H$30*Account_Register!$M$30,0)+IF(Assumptions!L$189=Account_Register!$O$31,Account_Register!$H$31*Account_Register!$M$31,0)+IF(Assumptions!L$189=Account_Register!$O$32,Account_Register!$H$32*Account_Register!$M$32,0)+IF(Assumptions!L$189=Account_Register!$O$33,Account_Register!$H$33*Account_Register!$M$33,0)+IF(Assumptions!L$189=Account_Register!$O$34,Account_Register!$H$34*Account_Register!$M$34,0)+L37)</f>
        <v>0</v>
      </c>
      <c r="M106" s="65" t="n">
        <f aca="false">IF(M$5="A",Inputs_Actuals!M204,IF(Assumptions!M$189=Account_Register!$O$29,Account_Register!$H$29*Account_Register!$M$29,0)+IF(Assumptions!M$189=Account_Register!$O$30,Account_Register!$H$30*Account_Register!$M$30,0)+IF(Assumptions!M$189=Account_Register!$O$31,Account_Register!$H$31*Account_Register!$M$31,0)+IF(Assumptions!M$189=Account_Register!$O$32,Account_Register!$H$32*Account_Register!$M$32,0)+IF(Assumptions!M$189=Account_Register!$O$33,Account_Register!$H$33*Account_Register!$M$33,0)+IF(Assumptions!M$189=Account_Register!$O$34,Account_Register!$H$34*Account_Register!$M$34,0)+M37)</f>
        <v>0</v>
      </c>
      <c r="N106" s="65" t="n">
        <f aca="false">IF(N$5="A",Inputs_Actuals!N204,IF(Assumptions!N$189=Account_Register!$O$29,Account_Register!$H$29*Account_Register!$M$29,0)+IF(Assumptions!N$189=Account_Register!$O$30,Account_Register!$H$30*Account_Register!$M$30,0)+IF(Assumptions!N$189=Account_Register!$O$31,Account_Register!$H$31*Account_Register!$M$31,0)+IF(Assumptions!N$189=Account_Register!$O$32,Account_Register!$H$32*Account_Register!$M$32,0)+IF(Assumptions!N$189=Account_Register!$O$33,Account_Register!$H$33*Account_Register!$M$33,0)+IF(Assumptions!N$189=Account_Register!$O$34,Account_Register!$H$34*Account_Register!$M$34,0)+N37)</f>
        <v>0</v>
      </c>
      <c r="O106" s="65" t="n">
        <f aca="false">IF(O$5="A",Inputs_Actuals!O204,IF(Assumptions!O$189=Account_Register!$O$29,Account_Register!$H$29*Account_Register!$M$29,0)+IF(Assumptions!O$189=Account_Register!$O$30,Account_Register!$H$30*Account_Register!$M$30,0)+IF(Assumptions!O$189=Account_Register!$O$31,Account_Register!$H$31*Account_Register!$M$31,0)+IF(Assumptions!O$189=Account_Register!$O$32,Account_Register!$H$32*Account_Register!$M$32,0)+IF(Assumptions!O$189=Account_Register!$O$33,Account_Register!$H$33*Account_Register!$M$33,0)+IF(Assumptions!O$189=Account_Register!$O$34,Account_Register!$H$34*Account_Register!$M$34,0)+O37)</f>
        <v>4320</v>
      </c>
      <c r="P106" s="65" t="n">
        <f aca="false">IF(P$5="A",Inputs_Actuals!P204,IF(Assumptions!P$189=Account_Register!$O$29,Account_Register!$H$29*Account_Register!$M$29,0)+IF(Assumptions!P$189=Account_Register!$O$30,Account_Register!$H$30*Account_Register!$M$30,0)+IF(Assumptions!P$189=Account_Register!$O$31,Account_Register!$H$31*Account_Register!$M$31,0)+IF(Assumptions!P$189=Account_Register!$O$32,Account_Register!$H$32*Account_Register!$M$32,0)+IF(Assumptions!P$189=Account_Register!$O$33,Account_Register!$H$33*Account_Register!$M$33,0)+IF(Assumptions!P$189=Account_Register!$O$34,Account_Register!$H$34*Account_Register!$M$34,0)+P37)</f>
        <v>4500</v>
      </c>
      <c r="Q106" s="65" t="n">
        <f aca="false">IF(Q$5="A",Inputs_Actuals!Q204,IF(Assumptions!Q$189=Account_Register!$O$29,Account_Register!$H$29*Account_Register!$M$29,0)+IF(Assumptions!Q$189=Account_Register!$O$30,Account_Register!$H$30*Account_Register!$M$30,0)+IF(Assumptions!Q$189=Account_Register!$O$31,Account_Register!$H$31*Account_Register!$M$31,0)+IF(Assumptions!Q$189=Account_Register!$O$32,Account_Register!$H$32*Account_Register!$M$32,0)+IF(Assumptions!Q$189=Account_Register!$O$33,Account_Register!$H$33*Account_Register!$M$33,0)+IF(Assumptions!Q$189=Account_Register!$O$34,Account_Register!$H$34*Account_Register!$M$34,0)+Q37)</f>
        <v>2925</v>
      </c>
      <c r="R106" s="65" t="n">
        <f aca="false">IF(R$5="A",Inputs_Actuals!R204,IF(Assumptions!R$189=Account_Register!$O$29,Account_Register!$H$29*Account_Register!$M$29,0)+IF(Assumptions!R$189=Account_Register!$O$30,Account_Register!$H$30*Account_Register!$M$30,0)+IF(Assumptions!R$189=Account_Register!$O$31,Account_Register!$H$31*Account_Register!$M$31,0)+IF(Assumptions!R$189=Account_Register!$O$32,Account_Register!$H$32*Account_Register!$M$32,0)+IF(Assumptions!R$189=Account_Register!$O$33,Account_Register!$H$33*Account_Register!$M$33,0)+IF(Assumptions!R$189=Account_Register!$O$34,Account_Register!$H$34*Account_Register!$M$34,0)+R37)</f>
        <v>2700</v>
      </c>
      <c r="S106" s="65" t="n">
        <f aca="false">IF(S$5="A",Inputs_Actuals!S204,IF(Assumptions!S$189=Account_Register!$O$29,Account_Register!$H$29*Account_Register!$M$29,0)+IF(Assumptions!S$189=Account_Register!$O$30,Account_Register!$H$30*Account_Register!$M$30,0)+IF(Assumptions!S$189=Account_Register!$O$31,Account_Register!$H$31*Account_Register!$M$31,0)+IF(Assumptions!S$189=Account_Register!$O$32,Account_Register!$H$32*Account_Register!$M$32,0)+IF(Assumptions!S$189=Account_Register!$O$33,Account_Register!$H$33*Account_Register!$M$33,0)+IF(Assumptions!S$189=Account_Register!$O$34,Account_Register!$H$34*Account_Register!$M$34,0)+S37)</f>
        <v>3120</v>
      </c>
      <c r="T106" s="65" t="n">
        <f aca="false">IF(T$5="A",Inputs_Actuals!T204,IF(Assumptions!T$189=Account_Register!$O$29,Account_Register!$H$29*Account_Register!$M$29,0)+IF(Assumptions!T$189=Account_Register!$O$30,Account_Register!$H$30*Account_Register!$M$30,0)+IF(Assumptions!T$189=Account_Register!$O$31,Account_Register!$H$31*Account_Register!$M$31,0)+IF(Assumptions!T$189=Account_Register!$O$32,Account_Register!$H$32*Account_Register!$M$32,0)+IF(Assumptions!T$189=Account_Register!$O$33,Account_Register!$H$33*Account_Register!$M$33,0)+IF(Assumptions!T$189=Account_Register!$O$34,Account_Register!$H$34*Account_Register!$M$34,0)+T37)</f>
        <v>3000</v>
      </c>
      <c r="U106" s="65" t="n">
        <f aca="false">IF(U$5="A",Inputs_Actuals!U204,IF(Assumptions!U$189=Account_Register!$O$29,Account_Register!$H$29*Account_Register!$M$29,0)+IF(Assumptions!U$189=Account_Register!$O$30,Account_Register!$H$30*Account_Register!$M$30,0)+IF(Assumptions!U$189=Account_Register!$O$31,Account_Register!$H$31*Account_Register!$M$31,0)+IF(Assumptions!U$189=Account_Register!$O$32,Account_Register!$H$32*Account_Register!$M$32,0)+IF(Assumptions!U$189=Account_Register!$O$33,Account_Register!$H$33*Account_Register!$M$33,0)+IF(Assumptions!U$189=Account_Register!$O$34,Account_Register!$H$34*Account_Register!$M$34,0)+U37)</f>
        <v>0</v>
      </c>
      <c r="V106" s="65" t="n">
        <f aca="false">IF(V$5="A",Inputs_Actuals!V204,IF(Assumptions!V$189=Account_Register!$O$29,Account_Register!$H$29*Account_Register!$M$29,0)+IF(Assumptions!V$189=Account_Register!$O$30,Account_Register!$H$30*Account_Register!$M$30,0)+IF(Assumptions!V$189=Account_Register!$O$31,Account_Register!$H$31*Account_Register!$M$31,0)+IF(Assumptions!V$189=Account_Register!$O$32,Account_Register!$H$32*Account_Register!$M$32,0)+IF(Assumptions!V$189=Account_Register!$O$33,Account_Register!$H$33*Account_Register!$M$33,0)+IF(Assumptions!V$189=Account_Register!$O$34,Account_Register!$H$34*Account_Register!$M$34,0)+V37)</f>
        <v>3675</v>
      </c>
      <c r="W106" s="65" t="n">
        <f aca="false">IF(W$5="A",Inputs_Actuals!W204,IF(Assumptions!W$189=Account_Register!$O$29,Account_Register!$H$29*Account_Register!$M$29,0)+IF(Assumptions!W$189=Account_Register!$O$30,Account_Register!$H$30*Account_Register!$M$30,0)+IF(Assumptions!W$189=Account_Register!$O$31,Account_Register!$H$31*Account_Register!$M$31,0)+IF(Assumptions!W$189=Account_Register!$O$32,Account_Register!$H$32*Account_Register!$M$32,0)+IF(Assumptions!W$189=Account_Register!$O$33,Account_Register!$H$33*Account_Register!$M$33,0)+IF(Assumptions!W$189=Account_Register!$O$34,Account_Register!$H$34*Account_Register!$M$34,0)+W37)</f>
        <v>3675</v>
      </c>
      <c r="X106" s="65" t="n">
        <f aca="false">IF(X$5="A",Inputs_Actuals!X204,IF(Assumptions!X$189=Account_Register!$O$29,Account_Register!$H$29*Account_Register!$M$29,0)+IF(Assumptions!X$189=Account_Register!$O$30,Account_Register!$H$30*Account_Register!$M$30,0)+IF(Assumptions!X$189=Account_Register!$O$31,Account_Register!$H$31*Account_Register!$M$31,0)+IF(Assumptions!X$189=Account_Register!$O$32,Account_Register!$H$32*Account_Register!$M$32,0)+IF(Assumptions!X$189=Account_Register!$O$33,Account_Register!$H$33*Account_Register!$M$33,0)+IF(Assumptions!X$189=Account_Register!$O$34,Account_Register!$H$34*Account_Register!$M$34,0)+X37)</f>
        <v>3675</v>
      </c>
      <c r="Y106" s="65" t="n">
        <f aca="false">IF(Y$5="A",Inputs_Actuals!Y204,IF(Assumptions!Y$189=Account_Register!$O$29,Account_Register!$H$29*Account_Register!$M$29,0)+IF(Assumptions!Y$189=Account_Register!$O$30,Account_Register!$H$30*Account_Register!$M$30,0)+IF(Assumptions!Y$189=Account_Register!$O$31,Account_Register!$H$31*Account_Register!$M$31,0)+IF(Assumptions!Y$189=Account_Register!$O$32,Account_Register!$H$32*Account_Register!$M$32,0)+IF(Assumptions!Y$189=Account_Register!$O$33,Account_Register!$H$33*Account_Register!$M$33,0)+IF(Assumptions!Y$189=Account_Register!$O$34,Account_Register!$H$34*Account_Register!$M$34,0)+Y37)</f>
        <v>3675</v>
      </c>
      <c r="Z106" s="65" t="n">
        <f aca="false">IF(Z$5="A",Inputs_Actuals!Z204,IF(Assumptions!Z$189=Account_Register!$O$29,Account_Register!$H$29*Account_Register!$M$29,0)+IF(Assumptions!Z$189=Account_Register!$O$30,Account_Register!$H$30*Account_Register!$M$30,0)+IF(Assumptions!Z$189=Account_Register!$O$31,Account_Register!$H$31*Account_Register!$M$31,0)+IF(Assumptions!Z$189=Account_Register!$O$32,Account_Register!$H$32*Account_Register!$M$32,0)+IF(Assumptions!Z$189=Account_Register!$O$33,Account_Register!$H$33*Account_Register!$M$33,0)+IF(Assumptions!Z$189=Account_Register!$O$34,Account_Register!$H$34*Account_Register!$M$34,0)+Z37)</f>
        <v>3675</v>
      </c>
      <c r="AA106" s="65" t="n">
        <f aca="false">IF(AA$5="A",Inputs_Actuals!AA204,IF(Assumptions!AA$189=Account_Register!$O$29,Account_Register!$H$29*Account_Register!$M$29,0)+IF(Assumptions!AA$189=Account_Register!$O$30,Account_Register!$H$30*Account_Register!$M$30,0)+IF(Assumptions!AA$189=Account_Register!$O$31,Account_Register!$H$31*Account_Register!$M$31,0)+IF(Assumptions!AA$189=Account_Register!$O$32,Account_Register!$H$32*Account_Register!$M$32,0)+IF(Assumptions!AA$189=Account_Register!$O$33,Account_Register!$H$33*Account_Register!$M$33,0)+IF(Assumptions!AA$189=Account_Register!$O$34,Account_Register!$H$34*Account_Register!$M$34,0)+AA37)</f>
        <v>3675</v>
      </c>
      <c r="AB106" s="65" t="n">
        <f aca="false">IF(AB$5="A",Inputs_Actuals!AB204,IF(Assumptions!AB$189=Account_Register!$O$29,Account_Register!$H$29*Account_Register!$M$29,0)+IF(Assumptions!AB$189=Account_Register!$O$30,Account_Register!$H$30*Account_Register!$M$30,0)+IF(Assumptions!AB$189=Account_Register!$O$31,Account_Register!$H$31*Account_Register!$M$31,0)+IF(Assumptions!AB$189=Account_Register!$O$32,Account_Register!$H$32*Account_Register!$M$32,0)+IF(Assumptions!AB$189=Account_Register!$O$33,Account_Register!$H$33*Account_Register!$M$33,0)+IF(Assumptions!AB$189=Account_Register!$O$34,Account_Register!$H$34*Account_Register!$M$34,0)+AB37)</f>
        <v>3675</v>
      </c>
    </row>
    <row r="107" customFormat="false" ht="15" hidden="false" customHeight="false" outlineLevel="0" collapsed="false">
      <c r="A107" s="28" t="s">
        <v>953</v>
      </c>
      <c r="B107" s="63"/>
      <c r="C107" s="64" t="n">
        <f aca="false">SUM(E107:P107)</f>
        <v>-9956.4901</v>
      </c>
      <c r="D107" s="64" t="n">
        <f aca="false">SUM(Q107:AB107)</f>
        <v>-12341.6076998304</v>
      </c>
      <c r="E107" s="65" t="n">
        <f aca="false">-Inputs_Actuals!E208</f>
        <v>-0</v>
      </c>
      <c r="F107" s="65" t="n">
        <f aca="false">IF(F$5="A",-Inputs_Actuals!F208,-(E13*(1-Account_Register!$M$11)+IF(AND(Assumptions!F$189&gt;Account_Register!$O$29,MOD(Assumptions!F$189-Account_Register!$O$29,12)=0),E31*(1-Assumptions!$C$137),0)+IF(AND(Assumptions!F$189&gt;Account_Register!$O$30,MOD(Assumptions!F$189-Account_Register!$O$30,12)=0),E32*(1-Assumptions!$C$137),0)+IF(AND(Assumptions!F$189&gt;Account_Register!$O$31,MOD(Assumptions!F$189-Account_Register!$O$31,12)=0),E33*(1-Assumptions!$C$137),0)+IF(AND(Assumptions!F$189&gt;Account_Register!$O$32,MOD(Assumptions!F$189-Account_Register!$O$32,12)=0),E34*(1-Assumptions!$C$137),0)+IF(AND(Assumptions!F$189&gt;Account_Register!$O$33,MOD(Assumptions!F$189-Account_Register!$O$33,12)=0),E35*(1-Assumptions!$C$137),0)+IF(AND(Assumptions!F$189&gt;Account_Register!$O$34,MOD(Assumptions!F$189-Account_Register!$O$34,12)=0),E36*(1-Assumptions!$C$137),0)))</f>
        <v>-6888.32</v>
      </c>
      <c r="G107" s="65" t="n">
        <f aca="false">IF(G$5="A",-Inputs_Actuals!G208,-(F10*(1-Account_Register!$M$8)+F18*(1-Account_Register!$M$16)+F24*(1-Account_Register!$M$22)+IF(AND(Assumptions!G$189&gt;Account_Register!$O$29,MOD(Assumptions!G$189-Account_Register!$O$29,12)=0),F31*(1-Assumptions!$C$137),0)+IF(AND(Assumptions!G$189&gt;Account_Register!$O$30,MOD(Assumptions!G$189-Account_Register!$O$30,12)=0),F32*(1-Assumptions!$C$137),0)+IF(AND(Assumptions!G$189&gt;Account_Register!$O$31,MOD(Assumptions!G$189-Account_Register!$O$31,12)=0),F33*(1-Assumptions!$C$137),0)+IF(AND(Assumptions!G$189&gt;Account_Register!$O$32,MOD(Assumptions!G$189-Account_Register!$O$32,12)=0),F34*(1-Assumptions!$C$137),0)+IF(AND(Assumptions!G$189&gt;Account_Register!$O$33,MOD(Assumptions!G$189-Account_Register!$O$33,12)=0),F35*(1-Assumptions!$C$137),0)+IF(AND(Assumptions!G$189&gt;Account_Register!$O$34,MOD(Assumptions!G$189-Account_Register!$O$34,12)=0),F36*(1-Assumptions!$C$137),0)))</f>
        <v>-0</v>
      </c>
      <c r="H107" s="65" t="n">
        <f aca="false">IF(H$5="A",-Inputs_Actuals!H208,-(G19*(1-Account_Register!$M$17)+IF(AND(Assumptions!H$189&gt;Account_Register!$O$29,MOD(Assumptions!H$189-Account_Register!$O$29,12)=0),G31*(1-Assumptions!$C$137),0)+IF(AND(Assumptions!H$189&gt;Account_Register!$O$30,MOD(Assumptions!H$189-Account_Register!$O$30,12)=0),G32*(1-Assumptions!$C$137),0)+IF(AND(Assumptions!H$189&gt;Account_Register!$O$31,MOD(Assumptions!H$189-Account_Register!$O$31,12)=0),G33*(1-Assumptions!$C$137),0)+IF(AND(Assumptions!H$189&gt;Account_Register!$O$32,MOD(Assumptions!H$189-Account_Register!$O$32,12)=0),G34*(1-Assumptions!$C$137),0)+IF(AND(Assumptions!H$189&gt;Account_Register!$O$33,MOD(Assumptions!H$189-Account_Register!$O$33,12)=0),G35*(1-Assumptions!$C$137),0)+IF(AND(Assumptions!H$189&gt;Account_Register!$O$34,MOD(Assumptions!H$189-Account_Register!$O$34,12)=0),G36*(1-Assumptions!$C$137),0)))</f>
        <v>-0</v>
      </c>
      <c r="I107" s="65" t="n">
        <f aca="false">IF(I$5="A",-Inputs_Actuals!I208,-(H14*(1-Account_Register!$M$12)+H25*(1-Account_Register!$M$23)+IF(AND(Assumptions!I$189&gt;Account_Register!$O$29,MOD(Assumptions!I$189-Account_Register!$O$29,12)=0),H31*(1-Assumptions!$C$137),0)+IF(AND(Assumptions!I$189&gt;Account_Register!$O$30,MOD(Assumptions!I$189-Account_Register!$O$30,12)=0),H32*(1-Assumptions!$C$137),0)+IF(AND(Assumptions!I$189&gt;Account_Register!$O$31,MOD(Assumptions!I$189-Account_Register!$O$31,12)=0),H33*(1-Assumptions!$C$137),0)+IF(AND(Assumptions!I$189&gt;Account_Register!$O$32,MOD(Assumptions!I$189-Account_Register!$O$32,12)=0),H34*(1-Assumptions!$C$137),0)+IF(AND(Assumptions!I$189&gt;Account_Register!$O$33,MOD(Assumptions!I$189-Account_Register!$O$33,12)=0),H35*(1-Assumptions!$C$137),0)+IF(AND(Assumptions!I$189&gt;Account_Register!$O$34,MOD(Assumptions!I$189-Account_Register!$O$34,12)=0),H36*(1-Assumptions!$C$137),0)))</f>
        <v>-0</v>
      </c>
      <c r="J107" s="65" t="n">
        <f aca="false">IF(J$5="A",-Inputs_Actuals!J208,-(I11*(1-Account_Register!$M$9)+I20*(1-Account_Register!$M$18)+IF(AND(Assumptions!J$189&gt;Account_Register!$O$29,MOD(Assumptions!J$189-Account_Register!$O$29,12)=0),I31*(1-Assumptions!$C$137),0)+IF(AND(Assumptions!J$189&gt;Account_Register!$O$30,MOD(Assumptions!J$189-Account_Register!$O$30,12)=0),I32*(1-Assumptions!$C$137),0)+IF(AND(Assumptions!J$189&gt;Account_Register!$O$31,MOD(Assumptions!J$189-Account_Register!$O$31,12)=0),I33*(1-Assumptions!$C$137),0)+IF(AND(Assumptions!J$189&gt;Account_Register!$O$32,MOD(Assumptions!J$189-Account_Register!$O$32,12)=0),I34*(1-Assumptions!$C$137),0)+IF(AND(Assumptions!J$189&gt;Account_Register!$O$33,MOD(Assumptions!J$189-Account_Register!$O$33,12)=0),I35*(1-Assumptions!$C$137),0)+IF(AND(Assumptions!J$189&gt;Account_Register!$O$34,MOD(Assumptions!J$189-Account_Register!$O$34,12)=0),I36*(1-Assumptions!$C$137),0)))</f>
        <v>-0</v>
      </c>
      <c r="K107" s="65" t="n">
        <f aca="false">IF(K$5="A",-Inputs_Actuals!K208,-(J26*(1-Account_Register!$M$24)+IF(AND(Assumptions!K$189&gt;Account_Register!$O$29,MOD(Assumptions!K$189-Account_Register!$O$29,12)=0),J31*(1-Assumptions!$C$137),0)+IF(AND(Assumptions!K$189&gt;Account_Register!$O$30,MOD(Assumptions!K$189-Account_Register!$O$30,12)=0),J32*(1-Assumptions!$C$137),0)+IF(AND(Assumptions!K$189&gt;Account_Register!$O$31,MOD(Assumptions!K$189-Account_Register!$O$31,12)=0),J33*(1-Assumptions!$C$137),0)+IF(AND(Assumptions!K$189&gt;Account_Register!$O$32,MOD(Assumptions!K$189-Account_Register!$O$32,12)=0),J34*(1-Assumptions!$C$137),0)+IF(AND(Assumptions!K$189&gt;Account_Register!$O$33,MOD(Assumptions!K$189-Account_Register!$O$33,12)=0),J35*(1-Assumptions!$C$137),0)+IF(AND(Assumptions!K$189&gt;Account_Register!$O$34,MOD(Assumptions!K$189-Account_Register!$O$34,12)=0),J36*(1-Assumptions!$C$137),0)))</f>
        <v>-0</v>
      </c>
      <c r="L107" s="65" t="n">
        <f aca="false">IF(L$5="A",-Inputs_Actuals!L208,-(IF(AND(Assumptions!L$189&gt;Account_Register!$O$29,MOD(Assumptions!L$189-Account_Register!$O$29,12)=0),K31*(1-Assumptions!$C$137),0)+IF(AND(Assumptions!L$189&gt;Account_Register!$O$30,MOD(Assumptions!L$189-Account_Register!$O$30,12)=0),K32*(1-Assumptions!$C$137),0)+IF(AND(Assumptions!L$189&gt;Account_Register!$O$31,MOD(Assumptions!L$189-Account_Register!$O$31,12)=0),K33*(1-Assumptions!$C$137),0)+IF(AND(Assumptions!L$189&gt;Account_Register!$O$32,MOD(Assumptions!L$189-Account_Register!$O$32,12)=0),K34*(1-Assumptions!$C$137),0)+IF(AND(Assumptions!L$189&gt;Account_Register!$O$33,MOD(Assumptions!L$189-Account_Register!$O$33,12)=0),K35*(1-Assumptions!$C$137),0)+IF(AND(Assumptions!L$189&gt;Account_Register!$O$34,MOD(Assumptions!L$189-Account_Register!$O$34,12)=0),K36*(1-Assumptions!$C$137),0)))</f>
        <v>-0</v>
      </c>
      <c r="M107" s="65" t="n">
        <f aca="false">IF(M$5="A",-Inputs_Actuals!M208,-(L15*(1-Account_Register!$M$13)+L21*(1-Account_Register!$M$19)+L27*(1-Account_Register!$M$25)+IF(AND(Assumptions!M$189&gt;Account_Register!$O$29,MOD(Assumptions!M$189-Account_Register!$O$29,12)=0),L31*(1-Assumptions!$C$137),0)+IF(AND(Assumptions!M$189&gt;Account_Register!$O$30,MOD(Assumptions!M$189-Account_Register!$O$30,12)=0),L32*(1-Assumptions!$C$137),0)+IF(AND(Assumptions!M$189&gt;Account_Register!$O$31,MOD(Assumptions!M$189-Account_Register!$O$31,12)=0),L33*(1-Assumptions!$C$137),0)+IF(AND(Assumptions!M$189&gt;Account_Register!$O$32,MOD(Assumptions!M$189-Account_Register!$O$32,12)=0),L34*(1-Assumptions!$C$137),0)+IF(AND(Assumptions!M$189&gt;Account_Register!$O$33,MOD(Assumptions!M$189-Account_Register!$O$33,12)=0),L35*(1-Assumptions!$C$137),0)+IF(AND(Assumptions!M$189&gt;Account_Register!$O$34,MOD(Assumptions!M$189-Account_Register!$O$34,12)=0),L36*(1-Assumptions!$C$137),0)))</f>
        <v>-1288.4296</v>
      </c>
      <c r="N107" s="65" t="n">
        <f aca="false">IF(N$5="A",-Inputs_Actuals!N208,-(M12*(1-Account_Register!$M$10)+IF(AND(Assumptions!N$189&gt;Account_Register!$O$29,MOD(Assumptions!N$189-Account_Register!$O$29,12)=0),M31*(1-Assumptions!$C$137),0)+IF(AND(Assumptions!N$189&gt;Account_Register!$O$30,MOD(Assumptions!N$189-Account_Register!$O$30,12)=0),M32*(1-Assumptions!$C$137),0)+IF(AND(Assumptions!N$189&gt;Account_Register!$O$31,MOD(Assumptions!N$189-Account_Register!$O$31,12)=0),M33*(1-Assumptions!$C$137),0)+IF(AND(Assumptions!N$189&gt;Account_Register!$O$32,MOD(Assumptions!N$189-Account_Register!$O$32,12)=0),M34*(1-Assumptions!$C$137),0)+IF(AND(Assumptions!N$189&gt;Account_Register!$O$33,MOD(Assumptions!N$189-Account_Register!$O$33,12)=0),M35*(1-Assumptions!$C$137),0)+IF(AND(Assumptions!N$189&gt;Account_Register!$O$34,MOD(Assumptions!N$189-Account_Register!$O$34,12)=0),M36*(1-Assumptions!$C$137),0)))</f>
        <v>-576.2785</v>
      </c>
      <c r="O107" s="65" t="n">
        <f aca="false">IF(O$5="A",-Inputs_Actuals!O208,-(N16*(1-Account_Register!$M$14)+N22*(1-Account_Register!$M$20)+N28*(1-Account_Register!$M$26)+IF(AND(Assumptions!O$189&gt;Account_Register!$O$29,MOD(Assumptions!O$189-Account_Register!$O$29,12)=0),N31*(1-Assumptions!$C$137),0)+IF(AND(Assumptions!O$189&gt;Account_Register!$O$30,MOD(Assumptions!O$189-Account_Register!$O$30,12)=0),N32*(1-Assumptions!$C$137),0)+IF(AND(Assumptions!O$189&gt;Account_Register!$O$31,MOD(Assumptions!O$189-Account_Register!$O$31,12)=0),N33*(1-Assumptions!$C$137),0)+IF(AND(Assumptions!O$189&gt;Account_Register!$O$32,MOD(Assumptions!O$189-Account_Register!$O$32,12)=0),N34*(1-Assumptions!$C$137),0)+IF(AND(Assumptions!O$189&gt;Account_Register!$O$33,MOD(Assumptions!O$189-Account_Register!$O$33,12)=0),N35*(1-Assumptions!$C$137),0)+IF(AND(Assumptions!O$189&gt;Account_Register!$O$34,MOD(Assumptions!O$189-Account_Register!$O$34,12)=0),N36*(1-Assumptions!$C$137),0)))</f>
        <v>-1203.462</v>
      </c>
      <c r="P107" s="65" t="n">
        <f aca="false">IF(P$5="A",-Inputs_Actuals!P208,-(IF(AND(Assumptions!P$189&gt;Account_Register!$O$29,MOD(Assumptions!P$189-Account_Register!$O$29,12)=0),O31*(1-Assumptions!$C$137),0)+IF(AND(Assumptions!P$189&gt;Account_Register!$O$30,MOD(Assumptions!P$189-Account_Register!$O$30,12)=0),O32*(1-Assumptions!$C$137),0)+IF(AND(Assumptions!P$189&gt;Account_Register!$O$31,MOD(Assumptions!P$189-Account_Register!$O$31,12)=0),O33*(1-Assumptions!$C$137),0)+IF(AND(Assumptions!P$189&gt;Account_Register!$O$32,MOD(Assumptions!P$189-Account_Register!$O$32,12)=0),O34*(1-Assumptions!$C$137),0)+IF(AND(Assumptions!P$189&gt;Account_Register!$O$33,MOD(Assumptions!P$189-Account_Register!$O$33,12)=0),O35*(1-Assumptions!$C$137),0)+IF(AND(Assumptions!P$189&gt;Account_Register!$O$34,MOD(Assumptions!P$189-Account_Register!$O$34,12)=0),O36*(1-Assumptions!$C$137),0)))</f>
        <v>-0</v>
      </c>
      <c r="Q107" s="65" t="n">
        <f aca="false">IF(Q$5="A",-Inputs_Actuals!Q208,-(P9*(1-Account_Register!$M$7)+P17*(1-Account_Register!$M$15)+P23*(1-Account_Register!$M$21)+IF(AND(Assumptions!Q$189&gt;Account_Register!$O$29,MOD(Assumptions!Q$189-Account_Register!$O$29,12)=0),P31*(1-Assumptions!$C$137),0)+IF(AND(Assumptions!Q$189&gt;Account_Register!$O$30,MOD(Assumptions!Q$189-Account_Register!$O$30,12)=0),P32*(1-Assumptions!$C$137),0)+IF(AND(Assumptions!Q$189&gt;Account_Register!$O$31,MOD(Assumptions!Q$189-Account_Register!$O$31,12)=0),P33*(1-Assumptions!$C$137),0)+IF(AND(Assumptions!Q$189&gt;Account_Register!$O$32,MOD(Assumptions!Q$189-Account_Register!$O$32,12)=0),P34*(1-Assumptions!$C$137),0)+IF(AND(Assumptions!Q$189&gt;Account_Register!$O$33,MOD(Assumptions!Q$189-Account_Register!$O$33,12)=0),P35*(1-Assumptions!$C$137),0)+IF(AND(Assumptions!Q$189&gt;Account_Register!$O$34,MOD(Assumptions!Q$189-Account_Register!$O$34,12)=0),P36*(1-Assumptions!$C$137),0)))</f>
        <v>-4468.003</v>
      </c>
      <c r="R107" s="65" t="n">
        <f aca="false">IF(R$5="A",-Inputs_Actuals!R208,-(Q13*(1-Account_Register!$M$11)+IF(AND(Assumptions!R$189&gt;Account_Register!$O$29,MOD(Assumptions!R$189-Account_Register!$O$29,12)=0),Q31*(1-Assumptions!$C$137),0)+IF(AND(Assumptions!R$189&gt;Account_Register!$O$30,MOD(Assumptions!R$189-Account_Register!$O$30,12)=0),Q32*(1-Assumptions!$C$137),0)+IF(AND(Assumptions!R$189&gt;Account_Register!$O$31,MOD(Assumptions!R$189-Account_Register!$O$31,12)=0),Q33*(1-Assumptions!$C$137),0)+IF(AND(Assumptions!R$189&gt;Account_Register!$O$32,MOD(Assumptions!R$189-Account_Register!$O$32,12)=0),Q34*(1-Assumptions!$C$137),0)+IF(AND(Assumptions!R$189&gt;Account_Register!$O$33,MOD(Assumptions!R$189-Account_Register!$O$33,12)=0),Q35*(1-Assumptions!$C$137),0)+IF(AND(Assumptions!R$189&gt;Account_Register!$O$34,MOD(Assumptions!R$189-Account_Register!$O$34,12)=0),Q36*(1-Assumptions!$C$137),0)))</f>
        <v>-0</v>
      </c>
      <c r="S107" s="65" t="n">
        <f aca="false">IF(S$5="A",-Inputs_Actuals!S208,-(R10*(1-Account_Register!$M$8)+R18*(1-Account_Register!$M$16)+R24*(1-Account_Register!$M$22)+IF(AND(Assumptions!S$189&gt;Account_Register!$O$29,MOD(Assumptions!S$189-Account_Register!$O$29,12)=0),R31*(1-Assumptions!$C$137),0)+IF(AND(Assumptions!S$189&gt;Account_Register!$O$30,MOD(Assumptions!S$189-Account_Register!$O$30,12)=0),R32*(1-Assumptions!$C$137),0)+IF(AND(Assumptions!S$189&gt;Account_Register!$O$31,MOD(Assumptions!S$189-Account_Register!$O$31,12)=0),R33*(1-Assumptions!$C$137),0)+IF(AND(Assumptions!S$189&gt;Account_Register!$O$32,MOD(Assumptions!S$189-Account_Register!$O$32,12)=0),R34*(1-Assumptions!$C$137),0)+IF(AND(Assumptions!S$189&gt;Account_Register!$O$33,MOD(Assumptions!S$189-Account_Register!$O$33,12)=0),R35*(1-Assumptions!$C$137),0)+IF(AND(Assumptions!S$189&gt;Account_Register!$O$34,MOD(Assumptions!S$189-Account_Register!$O$34,12)=0),R36*(1-Assumptions!$C$137),0)))</f>
        <v>-1347.5665</v>
      </c>
      <c r="T107" s="65" t="n">
        <f aca="false">IF(T$5="A",-Inputs_Actuals!T208,-(S19*(1-Account_Register!$M$17)+S29*(1-Account_Register!$M$27)+IF(AND(Assumptions!T$189&gt;Account_Register!$O$29,MOD(Assumptions!T$189-Account_Register!$O$29,12)=0),S31*(1-Assumptions!$C$137),0)+IF(AND(Assumptions!T$189&gt;Account_Register!$O$30,MOD(Assumptions!T$189-Account_Register!$O$30,12)=0),S32*(1-Assumptions!$C$137),0)+IF(AND(Assumptions!T$189&gt;Account_Register!$O$31,MOD(Assumptions!T$189-Account_Register!$O$31,12)=0),S33*(1-Assumptions!$C$137),0)+IF(AND(Assumptions!T$189&gt;Account_Register!$O$32,MOD(Assumptions!T$189-Account_Register!$O$32,12)=0),S34*(1-Assumptions!$C$137),0)+IF(AND(Assumptions!T$189&gt;Account_Register!$O$33,MOD(Assumptions!T$189-Account_Register!$O$33,12)=0),S35*(1-Assumptions!$C$137),0)+IF(AND(Assumptions!T$189&gt;Account_Register!$O$34,MOD(Assumptions!T$189-Account_Register!$O$34,12)=0),S36*(1-Assumptions!$C$137),0)))</f>
        <v>-896.741000000001</v>
      </c>
      <c r="U107" s="65" t="n">
        <f aca="false">IF(U$5="A",-Inputs_Actuals!U208,-(T14*(1-Account_Register!$M$12)+T25*(1-Account_Register!$M$23)+IF(AND(Assumptions!U$189&gt;Account_Register!$O$29,MOD(Assumptions!U$189-Account_Register!$O$29,12)=0),T31*(1-Assumptions!$C$137),0)+IF(AND(Assumptions!U$189&gt;Account_Register!$O$30,MOD(Assumptions!U$189-Account_Register!$O$30,12)=0),T32*(1-Assumptions!$C$137),0)+IF(AND(Assumptions!U$189&gt;Account_Register!$O$31,MOD(Assumptions!U$189-Account_Register!$O$31,12)=0),T33*(1-Assumptions!$C$137),0)+IF(AND(Assumptions!U$189&gt;Account_Register!$O$32,MOD(Assumptions!U$189-Account_Register!$O$32,12)=0),T34*(1-Assumptions!$C$137),0)+IF(AND(Assumptions!U$189&gt;Account_Register!$O$33,MOD(Assumptions!U$189-Account_Register!$O$33,12)=0),T35*(1-Assumptions!$C$137),0)+IF(AND(Assumptions!U$189&gt;Account_Register!$O$34,MOD(Assumptions!U$189-Account_Register!$O$34,12)=0),T36*(1-Assumptions!$C$137),0)))</f>
        <v>-708.114600000001</v>
      </c>
      <c r="V107" s="65" t="n">
        <f aca="false">IF(V$5="A",-Inputs_Actuals!V208,-(U11*(1-Account_Register!$M$9)+U20*(1-Account_Register!$M$18)+IF(AND(Assumptions!V$189&gt;Account_Register!$O$29,MOD(Assumptions!V$189-Account_Register!$O$29,12)=0),U31*(1-Assumptions!$C$137),0)+IF(AND(Assumptions!V$189&gt;Account_Register!$O$30,MOD(Assumptions!V$189-Account_Register!$O$30,12)=0),U32*(1-Assumptions!$C$137),0)+IF(AND(Assumptions!V$189&gt;Account_Register!$O$31,MOD(Assumptions!V$189-Account_Register!$O$31,12)=0),U33*(1-Assumptions!$C$137),0)+IF(AND(Assumptions!V$189&gt;Account_Register!$O$32,MOD(Assumptions!V$189-Account_Register!$O$32,12)=0),U34*(1-Assumptions!$C$137),0)+IF(AND(Assumptions!V$189&gt;Account_Register!$O$33,MOD(Assumptions!V$189-Account_Register!$O$33,12)=0),U35*(1-Assumptions!$C$137),0)+IF(AND(Assumptions!V$189&gt;Account_Register!$O$34,MOD(Assumptions!V$189-Account_Register!$O$34,12)=0),U36*(1-Assumptions!$C$137),0)))</f>
        <v>-811.8769</v>
      </c>
      <c r="W107" s="65" t="n">
        <f aca="false">IF(W$5="A",-Inputs_Actuals!W208,-(V26*(1-Account_Register!$M$24)+V30*(1-Account_Register!$M$28)+IF(AND(Assumptions!W$189&gt;Account_Register!$O$29,MOD(Assumptions!W$189-Account_Register!$O$29,12)=0),V31*(1-Assumptions!$C$137),0)+IF(AND(Assumptions!W$189&gt;Account_Register!$O$30,MOD(Assumptions!W$189-Account_Register!$O$30,12)=0),V32*(1-Assumptions!$C$137),0)+IF(AND(Assumptions!W$189&gt;Account_Register!$O$31,MOD(Assumptions!W$189-Account_Register!$O$31,12)=0),V33*(1-Assumptions!$C$137),0)+IF(AND(Assumptions!W$189&gt;Account_Register!$O$32,MOD(Assumptions!W$189-Account_Register!$O$32,12)=0),V34*(1-Assumptions!$C$137),0)+IF(AND(Assumptions!W$189&gt;Account_Register!$O$33,MOD(Assumptions!W$189-Account_Register!$O$33,12)=0),V35*(1-Assumptions!$C$137),0)+IF(AND(Assumptions!W$189&gt;Account_Register!$O$34,MOD(Assumptions!W$189-Account_Register!$O$34,12)=0),V36*(1-Assumptions!$C$137),0)))</f>
        <v>-603.443600000001</v>
      </c>
      <c r="X107" s="65" t="n">
        <f aca="false">IF(X$5="A",-Inputs_Actuals!X208,-(IF(AND(Assumptions!X$189&gt;Account_Register!$O$29,MOD(Assumptions!X$189-Account_Register!$O$29,12)=0),W31*(1-Assumptions!$C$137),0)+IF(AND(Assumptions!X$189&gt;Account_Register!$O$30,MOD(Assumptions!X$189-Account_Register!$O$30,12)=0),W32*(1-Assumptions!$C$137),0)+IF(AND(Assumptions!X$189&gt;Account_Register!$O$31,MOD(Assumptions!X$189-Account_Register!$O$31,12)=0),W33*(1-Assumptions!$C$137),0)+IF(AND(Assumptions!X$189&gt;Account_Register!$O$32,MOD(Assumptions!X$189-Account_Register!$O$32,12)=0),W34*(1-Assumptions!$C$137),0)+IF(AND(Assumptions!X$189&gt;Account_Register!$O$33,MOD(Assumptions!X$189-Account_Register!$O$33,12)=0),W35*(1-Assumptions!$C$137),0)+IF(AND(Assumptions!X$189&gt;Account_Register!$O$34,MOD(Assumptions!X$189-Account_Register!$O$34,12)=0),W36*(1-Assumptions!$C$137),0)))</f>
        <v>-0</v>
      </c>
      <c r="Y107" s="65" t="n">
        <f aca="false">IF(Y$5="A",-Inputs_Actuals!Y208,-(X15*(1-Account_Register!$M$13)+X21*(1-Account_Register!$M$19)+X27*(1-Account_Register!$M$25)+IF(AND(Assumptions!Y$189&gt;Account_Register!$O$29,MOD(Assumptions!Y$189-Account_Register!$O$29,12)=0),X31*(1-Assumptions!$C$137),0)+IF(AND(Assumptions!Y$189&gt;Account_Register!$O$30,MOD(Assumptions!Y$189-Account_Register!$O$30,12)=0),X32*(1-Assumptions!$C$137),0)+IF(AND(Assumptions!Y$189&gt;Account_Register!$O$31,MOD(Assumptions!Y$189-Account_Register!$O$31,12)=0),X33*(1-Assumptions!$C$137),0)+IF(AND(Assumptions!Y$189&gt;Account_Register!$O$32,MOD(Assumptions!Y$189-Account_Register!$O$32,12)=0),X34*(1-Assumptions!$C$137),0)+IF(AND(Assumptions!Y$189&gt;Account_Register!$O$33,MOD(Assumptions!Y$189-Account_Register!$O$33,12)=0),X35*(1-Assumptions!$C$137),0)+IF(AND(Assumptions!Y$189&gt;Account_Register!$O$34,MOD(Assumptions!Y$189-Account_Register!$O$34,12)=0),X36*(1-Assumptions!$C$137),0)))</f>
        <v>-1295.8869814944</v>
      </c>
      <c r="Z107" s="65" t="n">
        <f aca="false">IF(Z$5="A",-Inputs_Actuals!Z208,-(Y12*(1-Account_Register!$M$10)+IF(AND(Assumptions!Z$189&gt;Account_Register!$O$29,MOD(Assumptions!Z$189-Account_Register!$O$29,12)=0),Y31*(1-Assumptions!$C$137),0)+IF(AND(Assumptions!Z$189&gt;Account_Register!$O$30,MOD(Assumptions!Z$189-Account_Register!$O$30,12)=0),Y32*(1-Assumptions!$C$137),0)+IF(AND(Assumptions!Z$189&gt;Account_Register!$O$31,MOD(Assumptions!Z$189-Account_Register!$O$31,12)=0),Y33*(1-Assumptions!$C$137),0)+IF(AND(Assumptions!Z$189&gt;Account_Register!$O$32,MOD(Assumptions!Z$189-Account_Register!$O$32,12)=0),Y34*(1-Assumptions!$C$137),0)+IF(AND(Assumptions!Z$189&gt;Account_Register!$O$33,MOD(Assumptions!Z$189-Account_Register!$O$33,12)=0),Y35*(1-Assumptions!$C$137),0)+IF(AND(Assumptions!Z$189&gt;Account_Register!$O$34,MOD(Assumptions!Z$189-Account_Register!$O$34,12)=0),Y36*(1-Assumptions!$C$137),0)))</f>
        <v>-574.097862156</v>
      </c>
      <c r="AA107" s="65" t="n">
        <f aca="false">IF(AA$5="A",-Inputs_Actuals!AA208,-(Z16*(1-Account_Register!$M$14)+Z22*(1-Account_Register!$M$20)+Z28*(1-Account_Register!$M$26)+IF(AND(Assumptions!AA$189&gt;Account_Register!$O$29,MOD(Assumptions!AA$189-Account_Register!$O$29,12)=0),Z31*(1-Assumptions!$C$137),0)+IF(AND(Assumptions!AA$189&gt;Account_Register!$O$30,MOD(Assumptions!AA$189-Account_Register!$O$30,12)=0),Z32*(1-Assumptions!$C$137),0)+IF(AND(Assumptions!AA$189&gt;Account_Register!$O$31,MOD(Assumptions!AA$189-Account_Register!$O$31,12)=0),Z33*(1-Assumptions!$C$137),0)+IF(AND(Assumptions!AA$189&gt;Account_Register!$O$32,MOD(Assumptions!AA$189-Account_Register!$O$32,12)=0),Z34*(1-Assumptions!$C$137),0)+IF(AND(Assumptions!AA$189&gt;Account_Register!$O$33,MOD(Assumptions!AA$189-Account_Register!$O$33,12)=0),Z35*(1-Assumptions!$C$137),0)+IF(AND(Assumptions!AA$189&gt;Account_Register!$O$34,MOD(Assumptions!AA$189-Account_Register!$O$34,12)=0),Z36*(1-Assumptions!$C$137),0)))</f>
        <v>-1410.87725618</v>
      </c>
      <c r="AB107" s="65" t="n">
        <f aca="false">IF(AB$5="A",-Inputs_Actuals!AB208,-(IF(AND(Assumptions!AB$189&gt;Account_Register!$O$29,MOD(Assumptions!AB$189-Account_Register!$O$29,12)=0),AA31*(1-Assumptions!$C$137),0)+IF(AND(Assumptions!AB$189&gt;Account_Register!$O$30,MOD(Assumptions!AB$189-Account_Register!$O$30,12)=0),AA32*(1-Assumptions!$C$137),0)+IF(AND(Assumptions!AB$189&gt;Account_Register!$O$31,MOD(Assumptions!AB$189-Account_Register!$O$31,12)=0),AA33*(1-Assumptions!$C$137),0)+IF(AND(Assumptions!AB$189&gt;Account_Register!$O$32,MOD(Assumptions!AB$189-Account_Register!$O$32,12)=0),AA34*(1-Assumptions!$C$137),0)+IF(AND(Assumptions!AB$189&gt;Account_Register!$O$33,MOD(Assumptions!AB$189-Account_Register!$O$33,12)=0),AA35*(1-Assumptions!$C$137),0)+IF(AND(Assumptions!AB$189&gt;Account_Register!$O$34,MOD(Assumptions!AB$189-Account_Register!$O$34,12)=0),AA36*(1-Assumptions!$C$137),0)))</f>
        <v>-225</v>
      </c>
    </row>
    <row r="108" customFormat="false" ht="15" hidden="false" customHeight="false" outlineLevel="0" collapsed="false">
      <c r="A108" s="28" t="s">
        <v>1041</v>
      </c>
      <c r="B108" s="63"/>
      <c r="C108" s="64" t="n">
        <f aca="false">SUM(E108:P108)</f>
        <v>7564.29944004</v>
      </c>
      <c r="D108" s="64" t="n">
        <f aca="false">SUM(Q108:AB108)</f>
        <v>6953.43797659664</v>
      </c>
      <c r="E108" s="65" t="n">
        <f aca="false">Inputs_Actuals!E205</f>
        <v>1522.91</v>
      </c>
      <c r="F108" s="65" t="n">
        <f aca="false">IF(F$5="A",Inputs_Actuals!F205,(E13*Account_Register!$M$11*(1+Assumptions!F$200)*Account_Register!$N$11*Assumptions!$F$171+IF(AND(Assumptions!F$189&gt;Account_Register!$O$29,MOD(Assumptions!F$189-Account_Register!$O$29,12)=0),E31*Assumptions!$C$137*(1+Assumptions!F$200)*Account_Register!$N$29*Assumptions!$F$171,0)+IF(AND(Assumptions!F$189&gt;Account_Register!$O$30,MOD(Assumptions!F$189-Account_Register!$O$30,12)=0),E32*Assumptions!$C$137*(1+Assumptions!F$200)*Account_Register!$N$30*Assumptions!$F$171,0)+IF(AND(Assumptions!F$189&gt;Account_Register!$O$31,MOD(Assumptions!F$189-Account_Register!$O$31,12)=0),E33*Assumptions!$C$137*(1+Assumptions!F$200)*Account_Register!$N$31*Assumptions!$F$171,0)+IF(AND(Assumptions!F$189&gt;Account_Register!$O$32,MOD(Assumptions!F$189-Account_Register!$O$32,12)=0),E34*Assumptions!$C$137*(1+Assumptions!F$200)*Account_Register!$N$32*Assumptions!$F$171,0)+IF(AND(Assumptions!F$189&gt;Account_Register!$O$33,MOD(Assumptions!F$189-Account_Register!$O$33,12)=0),E35*Assumptions!$C$137*(1+Assumptions!F$200)*Account_Register!$N$33*Assumptions!$F$171,0)+IF(AND(Assumptions!F$189&gt;Account_Register!$O$34,MOD(Assumptions!F$189-Account_Register!$O$34,12)=0),E36*Assumptions!$C$137*(1+Assumptions!F$200)*Account_Register!$N$34*Assumptions!$F$171,0)))</f>
        <v>0</v>
      </c>
      <c r="G108" s="65" t="n">
        <f aca="false">IF(G$5="A",Inputs_Actuals!G205,(F10*Account_Register!$M$8*(1+Assumptions!G$200)*Account_Register!$N$8*Assumptions!$F$171+F18*Account_Register!$M$16*(1+Assumptions!G$200)*Account_Register!$N$16*Assumptions!$F$171+F24*Account_Register!$M$22*(1+Assumptions!G$200)*Account_Register!$N$22*Assumptions!$F$171+IF(AND(Assumptions!G$189&gt;Account_Register!$O$29,MOD(Assumptions!G$189-Account_Register!$O$29,12)=0),F31*Assumptions!$C$137*(1+Assumptions!G$200)*Account_Register!$N$29*Assumptions!$F$171,0)+IF(AND(Assumptions!G$189&gt;Account_Register!$O$30,MOD(Assumptions!G$189-Account_Register!$O$30,12)=0),F32*Assumptions!$C$137*(1+Assumptions!G$200)*Account_Register!$N$30*Assumptions!$F$171,0)+IF(AND(Assumptions!G$189&gt;Account_Register!$O$31,MOD(Assumptions!G$189-Account_Register!$O$31,12)=0),F33*Assumptions!$C$137*(1+Assumptions!G$200)*Account_Register!$N$31*Assumptions!$F$171,0)+IF(AND(Assumptions!G$189&gt;Account_Register!$O$32,MOD(Assumptions!G$189-Account_Register!$O$32,12)=0),F34*Assumptions!$C$137*(1+Assumptions!G$200)*Account_Register!$N$32*Assumptions!$F$171,0)+IF(AND(Assumptions!G$189&gt;Account_Register!$O$33,MOD(Assumptions!G$189-Account_Register!$O$33,12)=0),F35*Assumptions!$C$137*(1+Assumptions!G$200)*Account_Register!$N$33*Assumptions!$F$171,0)+IF(AND(Assumptions!G$189&gt;Account_Register!$O$34,MOD(Assumptions!G$189-Account_Register!$O$34,12)=0),F36*Assumptions!$C$137*(1+Assumptions!G$200)*Account_Register!$N$34*Assumptions!$F$171,0)))</f>
        <v>1685.44</v>
      </c>
      <c r="H108" s="65" t="n">
        <f aca="false">IF(H$5="A",Inputs_Actuals!H205,(G19*Account_Register!$M$17*(1+Assumptions!H$200)*Account_Register!$N$17*Assumptions!$F$171+IF(AND(Assumptions!H$189&gt;Account_Register!$O$29,MOD(Assumptions!H$189-Account_Register!$O$29,12)=0),G31*Assumptions!$C$137*(1+Assumptions!H$200)*Account_Register!$N$29*Assumptions!$F$171,0)+IF(AND(Assumptions!H$189&gt;Account_Register!$O$30,MOD(Assumptions!H$189-Account_Register!$O$30,12)=0),G32*Assumptions!$C$137*(1+Assumptions!H$200)*Account_Register!$N$30*Assumptions!$F$171,0)+IF(AND(Assumptions!H$189&gt;Account_Register!$O$31,MOD(Assumptions!H$189-Account_Register!$O$31,12)=0),G33*Assumptions!$C$137*(1+Assumptions!H$200)*Account_Register!$N$31*Assumptions!$F$171,0)+IF(AND(Assumptions!H$189&gt;Account_Register!$O$32,MOD(Assumptions!H$189-Account_Register!$O$32,12)=0),G34*Assumptions!$C$137*(1+Assumptions!H$200)*Account_Register!$N$32*Assumptions!$F$171,0)+IF(AND(Assumptions!H$189&gt;Account_Register!$O$33,MOD(Assumptions!H$189-Account_Register!$O$33,12)=0),G35*Assumptions!$C$137*(1+Assumptions!H$200)*Account_Register!$N$33*Assumptions!$F$171,0)+IF(AND(Assumptions!H$189&gt;Account_Register!$O$34,MOD(Assumptions!H$189-Account_Register!$O$34,12)=0),G36*Assumptions!$C$137*(1+Assumptions!H$200)*Account_Register!$N$34*Assumptions!$F$171,0)))</f>
        <v>112.13</v>
      </c>
      <c r="I108" s="65" t="n">
        <f aca="false">IF(I$5="A",Inputs_Actuals!I205,(H14*Account_Register!$M$12*(1+Assumptions!I$200)*Account_Register!$N$12*Assumptions!$F$171+H25*Account_Register!$M$23*(1+Assumptions!I$200)*Account_Register!$N$23*Assumptions!$F$171+IF(AND(Assumptions!I$189&gt;Account_Register!$O$29,MOD(Assumptions!I$189-Account_Register!$O$29,12)=0),H31*Assumptions!$C$137*(1+Assumptions!I$200)*Account_Register!$N$29*Assumptions!$F$171,0)+IF(AND(Assumptions!I$189&gt;Account_Register!$O$30,MOD(Assumptions!I$189-Account_Register!$O$30,12)=0),H32*Assumptions!$C$137*(1+Assumptions!I$200)*Account_Register!$N$30*Assumptions!$F$171,0)+IF(AND(Assumptions!I$189&gt;Account_Register!$O$31,MOD(Assumptions!I$189-Account_Register!$O$31,12)=0),H33*Assumptions!$C$137*(1+Assumptions!I$200)*Account_Register!$N$31*Assumptions!$F$171,0)+IF(AND(Assumptions!I$189&gt;Account_Register!$O$32,MOD(Assumptions!I$189-Account_Register!$O$32,12)=0),H34*Assumptions!$C$137*(1+Assumptions!I$200)*Account_Register!$N$32*Assumptions!$F$171,0)+IF(AND(Assumptions!I$189&gt;Account_Register!$O$33,MOD(Assumptions!I$189-Account_Register!$O$33,12)=0),H35*Assumptions!$C$137*(1+Assumptions!I$200)*Account_Register!$N$33*Assumptions!$F$171,0)+IF(AND(Assumptions!I$189&gt;Account_Register!$O$34,MOD(Assumptions!I$189-Account_Register!$O$34,12)=0),H36*Assumptions!$C$137*(1+Assumptions!I$200)*Account_Register!$N$34*Assumptions!$F$171,0)))</f>
        <v>1358.75</v>
      </c>
      <c r="J108" s="65" t="n">
        <f aca="false">IF(J$5="A",Inputs_Actuals!J205,(I11*Account_Register!$M$9*(1+Assumptions!J$200)*Account_Register!$N$9*Assumptions!$F$171+I20*Account_Register!$M$18*(1+Assumptions!J$200)*Account_Register!$N$18*Assumptions!$F$171+IF(AND(Assumptions!J$189&gt;Account_Register!$O$29,MOD(Assumptions!J$189-Account_Register!$O$29,12)=0),I31*Assumptions!$C$137*(1+Assumptions!J$200)*Account_Register!$N$29*Assumptions!$F$171,0)+IF(AND(Assumptions!J$189&gt;Account_Register!$O$30,MOD(Assumptions!J$189-Account_Register!$O$30,12)=0),I32*Assumptions!$C$137*(1+Assumptions!J$200)*Account_Register!$N$30*Assumptions!$F$171,0)+IF(AND(Assumptions!J$189&gt;Account_Register!$O$31,MOD(Assumptions!J$189-Account_Register!$O$31,12)=0),I33*Assumptions!$C$137*(1+Assumptions!J$200)*Account_Register!$N$31*Assumptions!$F$171,0)+IF(AND(Assumptions!J$189&gt;Account_Register!$O$32,MOD(Assumptions!J$189-Account_Register!$O$32,12)=0),I34*Assumptions!$C$137*(1+Assumptions!J$200)*Account_Register!$N$32*Assumptions!$F$171,0)+IF(AND(Assumptions!J$189&gt;Account_Register!$O$33,MOD(Assumptions!J$189-Account_Register!$O$33,12)=0),I35*Assumptions!$C$137*(1+Assumptions!J$200)*Account_Register!$N$33*Assumptions!$F$171,0)+IF(AND(Assumptions!J$189&gt;Account_Register!$O$34,MOD(Assumptions!J$189-Account_Register!$O$34,12)=0),I36*Assumptions!$C$137*(1+Assumptions!J$200)*Account_Register!$N$34*Assumptions!$F$171,0)))</f>
        <v>664.82</v>
      </c>
      <c r="K108" s="65" t="n">
        <f aca="false">IF(K$5="A",Inputs_Actuals!K205,(J26*Account_Register!$M$24*(1+Assumptions!K$200)*Account_Register!$N$24*Assumptions!$F$171+IF(AND(Assumptions!K$189&gt;Account_Register!$O$29,MOD(Assumptions!K$189-Account_Register!$O$29,12)=0),J31*Assumptions!$C$137*(1+Assumptions!K$200)*Account_Register!$N$29*Assumptions!$F$171,0)+IF(AND(Assumptions!K$189&gt;Account_Register!$O$30,MOD(Assumptions!K$189-Account_Register!$O$30,12)=0),J32*Assumptions!$C$137*(1+Assumptions!K$200)*Account_Register!$N$30*Assumptions!$F$171,0)+IF(AND(Assumptions!K$189&gt;Account_Register!$O$31,MOD(Assumptions!K$189-Account_Register!$O$31,12)=0),J33*Assumptions!$C$137*(1+Assumptions!K$200)*Account_Register!$N$31*Assumptions!$F$171,0)+IF(AND(Assumptions!K$189&gt;Account_Register!$O$32,MOD(Assumptions!K$189-Account_Register!$O$32,12)=0),J34*Assumptions!$C$137*(1+Assumptions!K$200)*Account_Register!$N$32*Assumptions!$F$171,0)+IF(AND(Assumptions!K$189&gt;Account_Register!$O$33,MOD(Assumptions!K$189-Account_Register!$O$33,12)=0),J35*Assumptions!$C$137*(1+Assumptions!K$200)*Account_Register!$N$33*Assumptions!$F$171,0)+IF(AND(Assumptions!K$189&gt;Account_Register!$O$34,MOD(Assumptions!K$189-Account_Register!$O$34,12)=0),J36*Assumptions!$C$137*(1+Assumptions!K$200)*Account_Register!$N$34*Assumptions!$F$171,0)))</f>
        <v>280.06</v>
      </c>
      <c r="L108" s="65" t="n">
        <f aca="false">IF(L$5="A",Inputs_Actuals!L205,(IF(AND(Assumptions!L$189&gt;Account_Register!$O$29,MOD(Assumptions!L$189-Account_Register!$O$29,12)=0),K31*Assumptions!$C$137*(1+Assumptions!L$200)*Account_Register!$N$29*Assumptions!$F$171,0)+IF(AND(Assumptions!L$189&gt;Account_Register!$O$30,MOD(Assumptions!L$189-Account_Register!$O$30,12)=0),K32*Assumptions!$C$137*(1+Assumptions!L$200)*Account_Register!$N$30*Assumptions!$F$171,0)+IF(AND(Assumptions!L$189&gt;Account_Register!$O$31,MOD(Assumptions!L$189-Account_Register!$O$31,12)=0),K33*Assumptions!$C$137*(1+Assumptions!L$200)*Account_Register!$N$31*Assumptions!$F$171,0)+IF(AND(Assumptions!L$189&gt;Account_Register!$O$32,MOD(Assumptions!L$189-Account_Register!$O$32,12)=0),K34*Assumptions!$C$137*(1+Assumptions!L$200)*Account_Register!$N$32*Assumptions!$F$171,0)+IF(AND(Assumptions!L$189&gt;Account_Register!$O$33,MOD(Assumptions!L$189-Account_Register!$O$33,12)=0),K35*Assumptions!$C$137*(1+Assumptions!L$200)*Account_Register!$N$33*Assumptions!$F$171,0)+IF(AND(Assumptions!L$189&gt;Account_Register!$O$34,MOD(Assumptions!L$189-Account_Register!$O$34,12)=0),K36*Assumptions!$C$137*(1+Assumptions!L$200)*Account_Register!$N$34*Assumptions!$F$171,0)))</f>
        <v>0</v>
      </c>
      <c r="M108" s="65" t="n">
        <f aca="false">IF(M$5="A",Inputs_Actuals!M205,(L15*Account_Register!$M$13*(1+Assumptions!M$200)*Account_Register!$N$13*Assumptions!$F$171+L21*Account_Register!$M$19*(1+Assumptions!M$200)*Account_Register!$N$19*Assumptions!$F$171+L27*Account_Register!$M$25*(1+Assumptions!M$200)*Account_Register!$N$25*Assumptions!$F$171+IF(AND(Assumptions!M$189&gt;Account_Register!$O$29,MOD(Assumptions!M$189-Account_Register!$O$29,12)=0),L31*Assumptions!$C$137*(1+Assumptions!M$200)*Account_Register!$N$29*Assumptions!$F$171,0)+IF(AND(Assumptions!M$189&gt;Account_Register!$O$30,MOD(Assumptions!M$189-Account_Register!$O$30,12)=0),L32*Assumptions!$C$137*(1+Assumptions!M$200)*Account_Register!$N$30*Assumptions!$F$171,0)+IF(AND(Assumptions!M$189&gt;Account_Register!$O$31,MOD(Assumptions!M$189-Account_Register!$O$31,12)=0),L33*Assumptions!$C$137*(1+Assumptions!M$200)*Account_Register!$N$31*Assumptions!$F$171,0)+IF(AND(Assumptions!M$189&gt;Account_Register!$O$32,MOD(Assumptions!M$189-Account_Register!$O$32,12)=0),L34*Assumptions!$C$137*(1+Assumptions!M$200)*Account_Register!$N$32*Assumptions!$F$171,0)+IF(AND(Assumptions!M$189&gt;Account_Register!$O$33,MOD(Assumptions!M$189-Account_Register!$O$33,12)=0),L35*Assumptions!$C$137*(1+Assumptions!M$200)*Account_Register!$N$33*Assumptions!$F$171,0)+IF(AND(Assumptions!M$189&gt;Account_Register!$O$34,MOD(Assumptions!M$189-Account_Register!$O$34,12)=0),L36*Assumptions!$C$137*(1+Assumptions!M$200)*Account_Register!$N$34*Assumptions!$F$171,0)))</f>
        <v>897.61779564</v>
      </c>
      <c r="N108" s="65" t="n">
        <f aca="false">IF(N$5="A",Inputs_Actuals!N205,(M12*Account_Register!$M$10*(1+Assumptions!N$200)*Account_Register!$N$10*Assumptions!$F$171+IF(AND(Assumptions!N$189&gt;Account_Register!$O$29,MOD(Assumptions!N$189-Account_Register!$O$29,12)=0),M31*Assumptions!$C$137*(1+Assumptions!N$200)*Account_Register!$N$29*Assumptions!$F$171,0)+IF(AND(Assumptions!N$189&gt;Account_Register!$O$30,MOD(Assumptions!N$189-Account_Register!$O$30,12)=0),M32*Assumptions!$C$137*(1+Assumptions!N$200)*Account_Register!$N$30*Assumptions!$F$171,0)+IF(AND(Assumptions!N$189&gt;Account_Register!$O$31,MOD(Assumptions!N$189-Account_Register!$O$31,12)=0),M33*Assumptions!$C$137*(1+Assumptions!N$200)*Account_Register!$N$31*Assumptions!$F$171,0)+IF(AND(Assumptions!N$189&gt;Account_Register!$O$32,MOD(Assumptions!N$189-Account_Register!$O$32,12)=0),M34*Assumptions!$C$137*(1+Assumptions!N$200)*Account_Register!$N$32*Assumptions!$F$171,0)+IF(AND(Assumptions!N$189&gt;Account_Register!$O$33,MOD(Assumptions!N$189-Account_Register!$O$33,12)=0),M35*Assumptions!$C$137*(1+Assumptions!N$200)*Account_Register!$N$33*Assumptions!$F$171,0)+IF(AND(Assumptions!N$189&gt;Account_Register!$O$34,MOD(Assumptions!N$189-Account_Register!$O$34,12)=0),M36*Assumptions!$C$137*(1+Assumptions!N$200)*Account_Register!$N$34*Assumptions!$F$171,0)))</f>
        <v>315.4383858</v>
      </c>
      <c r="O108" s="65" t="n">
        <f aca="false">IF(O$5="A",Inputs_Actuals!O205,(N16*Account_Register!$M$14*(1+Assumptions!O$200)*Account_Register!$N$14*Assumptions!$F$171+N22*Account_Register!$M$20*(1+Assumptions!O$200)*Account_Register!$N$20*Assumptions!$F$171+N28*Account_Register!$M$26*(1+Assumptions!O$200)*Account_Register!$N$26*Assumptions!$F$171+IF(AND(Assumptions!O$189&gt;Account_Register!$O$29,MOD(Assumptions!O$189-Account_Register!$O$29,12)=0),N31*Assumptions!$C$137*(1+Assumptions!O$200)*Account_Register!$N$29*Assumptions!$F$171,0)+IF(AND(Assumptions!O$189&gt;Account_Register!$O$30,MOD(Assumptions!O$189-Account_Register!$O$30,12)=0),N32*Assumptions!$C$137*(1+Assumptions!O$200)*Account_Register!$N$30*Assumptions!$F$171,0)+IF(AND(Assumptions!O$189&gt;Account_Register!$O$31,MOD(Assumptions!O$189-Account_Register!$O$31,12)=0),N33*Assumptions!$C$137*(1+Assumptions!O$200)*Account_Register!$N$31*Assumptions!$F$171,0)+IF(AND(Assumptions!O$189&gt;Account_Register!$O$32,MOD(Assumptions!O$189-Account_Register!$O$32,12)=0),N34*Assumptions!$C$137*(1+Assumptions!O$200)*Account_Register!$N$32*Assumptions!$F$171,0)+IF(AND(Assumptions!O$189&gt;Account_Register!$O$33,MOD(Assumptions!O$189-Account_Register!$O$33,12)=0),N35*Assumptions!$C$137*(1+Assumptions!O$200)*Account_Register!$N$33*Assumptions!$F$171,0)+IF(AND(Assumptions!O$189&gt;Account_Register!$O$34,MOD(Assumptions!O$189-Account_Register!$O$34,12)=0),N36*Assumptions!$C$137*(1+Assumptions!O$200)*Account_Register!$N$34*Assumptions!$F$171,0)))</f>
        <v>727.1332586</v>
      </c>
      <c r="P108" s="65" t="n">
        <f aca="false">IF(P$5="A",Inputs_Actuals!P205,(IF(AND(Assumptions!P$189&gt;Account_Register!$O$29,MOD(Assumptions!P$189-Account_Register!$O$29,12)=0),O31*Assumptions!$C$137*(1+Assumptions!P$200)*Account_Register!$N$29*Assumptions!$F$171,0)+IF(AND(Assumptions!P$189&gt;Account_Register!$O$30,MOD(Assumptions!P$189-Account_Register!$O$30,12)=0),O32*Assumptions!$C$137*(1+Assumptions!P$200)*Account_Register!$N$30*Assumptions!$F$171,0)+IF(AND(Assumptions!P$189&gt;Account_Register!$O$31,MOD(Assumptions!P$189-Account_Register!$O$31,12)=0),O33*Assumptions!$C$137*(1+Assumptions!P$200)*Account_Register!$N$31*Assumptions!$F$171,0)+IF(AND(Assumptions!P$189&gt;Account_Register!$O$32,MOD(Assumptions!P$189-Account_Register!$O$32,12)=0),O34*Assumptions!$C$137*(1+Assumptions!P$200)*Account_Register!$N$32*Assumptions!$F$171,0)+IF(AND(Assumptions!P$189&gt;Account_Register!$O$33,MOD(Assumptions!P$189-Account_Register!$O$33,12)=0),O35*Assumptions!$C$137*(1+Assumptions!P$200)*Account_Register!$N$33*Assumptions!$F$171,0)+IF(AND(Assumptions!P$189&gt;Account_Register!$O$34,MOD(Assumptions!P$189-Account_Register!$O$34,12)=0),O36*Assumptions!$C$137*(1+Assumptions!P$200)*Account_Register!$N$34*Assumptions!$F$171,0)))</f>
        <v>0</v>
      </c>
      <c r="Q108" s="65" t="n">
        <f aca="false">IF(Q$5="A",Inputs_Actuals!Q205,(P9*Account_Register!$M$7*(1+Assumptions!Q$200)*Account_Register!$N$7*Assumptions!$F$171+P17*Account_Register!$M$15*(1+Assumptions!Q$200)*Account_Register!$N$15*Assumptions!$F$171+P23*Account_Register!$M$21*(1+Assumptions!Q$200)*Account_Register!$N$21*Assumptions!$F$171+IF(AND(Assumptions!Q$189&gt;Account_Register!$O$29,MOD(Assumptions!Q$189-Account_Register!$O$29,12)=0),P31*Assumptions!$C$137*(1+Assumptions!Q$200)*Account_Register!$N$29*Assumptions!$F$171,0)+IF(AND(Assumptions!Q$189&gt;Account_Register!$O$30,MOD(Assumptions!Q$189-Account_Register!$O$30,12)=0),P32*Assumptions!$C$137*(1+Assumptions!Q$200)*Account_Register!$N$30*Assumptions!$F$171,0)+IF(AND(Assumptions!Q$189&gt;Account_Register!$O$31,MOD(Assumptions!Q$189-Account_Register!$O$31,12)=0),P33*Assumptions!$C$137*(1+Assumptions!Q$200)*Account_Register!$N$31*Assumptions!$F$171,0)+IF(AND(Assumptions!Q$189&gt;Account_Register!$O$32,MOD(Assumptions!Q$189-Account_Register!$O$32,12)=0),P34*Assumptions!$C$137*(1+Assumptions!Q$200)*Account_Register!$N$32*Assumptions!$F$171,0)+IF(AND(Assumptions!Q$189&gt;Account_Register!$O$33,MOD(Assumptions!Q$189-Account_Register!$O$33,12)=0),P35*Assumptions!$C$137*(1+Assumptions!Q$200)*Account_Register!$N$33*Assumptions!$F$171,0)+IF(AND(Assumptions!Q$189&gt;Account_Register!$O$34,MOD(Assumptions!Q$189-Account_Register!$O$34,12)=0),P36*Assumptions!$C$137*(1+Assumptions!Q$200)*Account_Register!$N$34*Assumptions!$F$171,0)))</f>
        <v>1348.5839955</v>
      </c>
      <c r="R108" s="65" t="n">
        <f aca="false">IF(R$5="A",Inputs_Actuals!R205,(Q13*Account_Register!$M$11*(1+Assumptions!R$200)*Account_Register!$N$11*Assumptions!$F$171+IF(AND(Assumptions!R$189&gt;Account_Register!$O$29,MOD(Assumptions!R$189-Account_Register!$O$29,12)=0),Q31*Assumptions!$C$137*(1+Assumptions!R$200)*Account_Register!$N$29*Assumptions!$F$171,0)+IF(AND(Assumptions!R$189&gt;Account_Register!$O$30,MOD(Assumptions!R$189-Account_Register!$O$30,12)=0),Q32*Assumptions!$C$137*(1+Assumptions!R$200)*Account_Register!$N$30*Assumptions!$F$171,0)+IF(AND(Assumptions!R$189&gt;Account_Register!$O$31,MOD(Assumptions!R$189-Account_Register!$O$31,12)=0),Q33*Assumptions!$C$137*(1+Assumptions!R$200)*Account_Register!$N$31*Assumptions!$F$171,0)+IF(AND(Assumptions!R$189&gt;Account_Register!$O$32,MOD(Assumptions!R$189-Account_Register!$O$32,12)=0),Q34*Assumptions!$C$137*(1+Assumptions!R$200)*Account_Register!$N$32*Assumptions!$F$171,0)+IF(AND(Assumptions!R$189&gt;Account_Register!$O$33,MOD(Assumptions!R$189-Account_Register!$O$33,12)=0),Q35*Assumptions!$C$137*(1+Assumptions!R$200)*Account_Register!$N$33*Assumptions!$F$171,0)+IF(AND(Assumptions!R$189&gt;Account_Register!$O$34,MOD(Assumptions!R$189-Account_Register!$O$34,12)=0),Q36*Assumptions!$C$137*(1+Assumptions!R$200)*Account_Register!$N$34*Assumptions!$F$171,0)))</f>
        <v>0</v>
      </c>
      <c r="S108" s="65" t="n">
        <f aca="false">IF(S$5="A",Inputs_Actuals!S205,(R10*Account_Register!$M$8*(1+Assumptions!S$200)*Account_Register!$N$8*Assumptions!$F$171+R18*Account_Register!$M$16*(1+Assumptions!S$200)*Account_Register!$N$16*Assumptions!$F$171+R24*Account_Register!$M$22*(1+Assumptions!S$200)*Account_Register!$N$22*Assumptions!$F$171+IF(AND(Assumptions!S$189&gt;Account_Register!$O$29,MOD(Assumptions!S$189-Account_Register!$O$29,12)=0),R31*Assumptions!$C$137*(1+Assumptions!S$200)*Account_Register!$N$29*Assumptions!$F$171,0)+IF(AND(Assumptions!S$189&gt;Account_Register!$O$30,MOD(Assumptions!S$189-Account_Register!$O$30,12)=0),R32*Assumptions!$C$137*(1+Assumptions!S$200)*Account_Register!$N$30*Assumptions!$F$171,0)+IF(AND(Assumptions!S$189&gt;Account_Register!$O$31,MOD(Assumptions!S$189-Account_Register!$O$31,12)=0),R33*Assumptions!$C$137*(1+Assumptions!S$200)*Account_Register!$N$31*Assumptions!$F$171,0)+IF(AND(Assumptions!S$189&gt;Account_Register!$O$32,MOD(Assumptions!S$189-Account_Register!$O$32,12)=0),R34*Assumptions!$C$137*(1+Assumptions!S$200)*Account_Register!$N$32*Assumptions!$F$171,0)+IF(AND(Assumptions!S$189&gt;Account_Register!$O$33,MOD(Assumptions!S$189-Account_Register!$O$33,12)=0),R35*Assumptions!$C$137*(1+Assumptions!S$200)*Account_Register!$N$33*Assumptions!$F$171,0)+IF(AND(Assumptions!S$189&gt;Account_Register!$O$34,MOD(Assumptions!S$189-Account_Register!$O$34,12)=0),R36*Assumptions!$C$137*(1+Assumptions!S$200)*Account_Register!$N$34*Assumptions!$F$171,0)))</f>
        <v>1009.20173015</v>
      </c>
      <c r="T108" s="65" t="n">
        <f aca="false">IF(T$5="A",Inputs_Actuals!T205,(S19*Account_Register!$M$17*(1+Assumptions!T$200)*Account_Register!$N$17*Assumptions!$F$171+S29*Account_Register!$M$27*(1+Assumptions!T$200)*Account_Register!$N$27*Assumptions!$F$171+IF(AND(Assumptions!T$189&gt;Account_Register!$O$29,MOD(Assumptions!T$189-Account_Register!$O$29,12)=0),S31*Assumptions!$C$137*(1+Assumptions!T$200)*Account_Register!$N$29*Assumptions!$F$171,0)+IF(AND(Assumptions!T$189&gt;Account_Register!$O$30,MOD(Assumptions!T$189-Account_Register!$O$30,12)=0),S32*Assumptions!$C$137*(1+Assumptions!T$200)*Account_Register!$N$30*Assumptions!$F$171,0)+IF(AND(Assumptions!T$189&gt;Account_Register!$O$31,MOD(Assumptions!T$189-Account_Register!$O$31,12)=0),S33*Assumptions!$C$137*(1+Assumptions!T$200)*Account_Register!$N$31*Assumptions!$F$171,0)+IF(AND(Assumptions!T$189&gt;Account_Register!$O$32,MOD(Assumptions!T$189-Account_Register!$O$32,12)=0),S34*Assumptions!$C$137*(1+Assumptions!T$200)*Account_Register!$N$32*Assumptions!$F$171,0)+IF(AND(Assumptions!T$189&gt;Account_Register!$O$33,MOD(Assumptions!T$189-Account_Register!$O$33,12)=0),S35*Assumptions!$C$137*(1+Assumptions!T$200)*Account_Register!$N$33*Assumptions!$F$171,0)+IF(AND(Assumptions!T$189&gt;Account_Register!$O$34,MOD(Assumptions!T$189-Account_Register!$O$34,12)=0),S36*Assumptions!$C$137*(1+Assumptions!T$200)*Account_Register!$N$34*Assumptions!$F$171,0)))</f>
        <v>770.3105908</v>
      </c>
      <c r="U108" s="65" t="n">
        <f aca="false">IF(U$5="A",Inputs_Actuals!U205,(T14*Account_Register!$M$12*(1+Assumptions!U$200)*Account_Register!$N$12*Assumptions!$F$171+T25*Account_Register!$M$23*(1+Assumptions!U$200)*Account_Register!$N$23*Assumptions!$F$171+IF(AND(Assumptions!U$189&gt;Account_Register!$O$29,MOD(Assumptions!U$189-Account_Register!$O$29,12)=0),T31*Assumptions!$C$137*(1+Assumptions!U$200)*Account_Register!$N$29*Assumptions!$F$171,0)+IF(AND(Assumptions!U$189&gt;Account_Register!$O$30,MOD(Assumptions!U$189-Account_Register!$O$30,12)=0),T32*Assumptions!$C$137*(1+Assumptions!U$200)*Account_Register!$N$30*Assumptions!$F$171,0)+IF(AND(Assumptions!U$189&gt;Account_Register!$O$31,MOD(Assumptions!U$189-Account_Register!$O$31,12)=0),T33*Assumptions!$C$137*(1+Assumptions!U$200)*Account_Register!$N$31*Assumptions!$F$171,0)+IF(AND(Assumptions!U$189&gt;Account_Register!$O$32,MOD(Assumptions!U$189-Account_Register!$O$32,12)=0),T34*Assumptions!$C$137*(1+Assumptions!U$200)*Account_Register!$N$32*Assumptions!$F$171,0)+IF(AND(Assumptions!U$189&gt;Account_Register!$O$33,MOD(Assumptions!U$189-Account_Register!$O$33,12)=0),T35*Assumptions!$C$137*(1+Assumptions!U$200)*Account_Register!$N$33*Assumptions!$F$171,0)+IF(AND(Assumptions!U$189&gt;Account_Register!$O$34,MOD(Assumptions!U$189-Account_Register!$O$34,12)=0),T36*Assumptions!$C$137*(1+Assumptions!U$200)*Account_Register!$N$34*Assumptions!$F$171,0)))</f>
        <v>526.09741776</v>
      </c>
      <c r="V108" s="65" t="n">
        <f aca="false">IF(V$5="A",Inputs_Actuals!V205,(U11*Account_Register!$M$9*(1+Assumptions!V$200)*Account_Register!$N$9*Assumptions!$F$171+U20*Account_Register!$M$18*(1+Assumptions!V$200)*Account_Register!$N$18*Assumptions!$F$171+IF(AND(Assumptions!V$189&gt;Account_Register!$O$29,MOD(Assumptions!V$189-Account_Register!$O$29,12)=0),U31*Assumptions!$C$137*(1+Assumptions!V$200)*Account_Register!$N$29*Assumptions!$F$171,0)+IF(AND(Assumptions!V$189&gt;Account_Register!$O$30,MOD(Assumptions!V$189-Account_Register!$O$30,12)=0),U32*Assumptions!$C$137*(1+Assumptions!V$200)*Account_Register!$N$30*Assumptions!$F$171,0)+IF(AND(Assumptions!V$189&gt;Account_Register!$O$31,MOD(Assumptions!V$189-Account_Register!$O$31,12)=0),U33*Assumptions!$C$137*(1+Assumptions!V$200)*Account_Register!$N$31*Assumptions!$F$171,0)+IF(AND(Assumptions!V$189&gt;Account_Register!$O$32,MOD(Assumptions!V$189-Account_Register!$O$32,12)=0),U34*Assumptions!$C$137*(1+Assumptions!V$200)*Account_Register!$N$32*Assumptions!$F$171,0)+IF(AND(Assumptions!V$189&gt;Account_Register!$O$33,MOD(Assumptions!V$189-Account_Register!$O$33,12)=0),U35*Assumptions!$C$137*(1+Assumptions!V$200)*Account_Register!$N$33*Assumptions!$F$171,0)+IF(AND(Assumptions!V$189&gt;Account_Register!$O$34,MOD(Assumptions!V$189-Account_Register!$O$34,12)=0),U36*Assumptions!$C$137*(1+Assumptions!V$200)*Account_Register!$N$34*Assumptions!$F$171,0)))</f>
        <v>492.66874304</v>
      </c>
      <c r="W108" s="65" t="n">
        <f aca="false">IF(W$5="A",Inputs_Actuals!W205,(V26*Account_Register!$M$24*(1+Assumptions!W$200)*Account_Register!$N$24*Assumptions!$F$171+V30*Account_Register!$M$28*(1+Assumptions!W$200)*Account_Register!$N$28*Assumptions!$F$171+IF(AND(Assumptions!W$189&gt;Account_Register!$O$29,MOD(Assumptions!W$189-Account_Register!$O$29,12)=0),V31*Assumptions!$C$137*(1+Assumptions!W$200)*Account_Register!$N$29*Assumptions!$F$171,0)+IF(AND(Assumptions!W$189&gt;Account_Register!$O$30,MOD(Assumptions!W$189-Account_Register!$O$30,12)=0),V32*Assumptions!$C$137*(1+Assumptions!W$200)*Account_Register!$N$30*Assumptions!$F$171,0)+IF(AND(Assumptions!W$189&gt;Account_Register!$O$31,MOD(Assumptions!W$189-Account_Register!$O$31,12)=0),V33*Assumptions!$C$137*(1+Assumptions!W$200)*Account_Register!$N$31*Assumptions!$F$171,0)+IF(AND(Assumptions!W$189&gt;Account_Register!$O$32,MOD(Assumptions!W$189-Account_Register!$O$32,12)=0),V34*Assumptions!$C$137*(1+Assumptions!W$200)*Account_Register!$N$32*Assumptions!$F$171,0)+IF(AND(Assumptions!W$189&gt;Account_Register!$O$33,MOD(Assumptions!W$189-Account_Register!$O$33,12)=0),V35*Assumptions!$C$137*(1+Assumptions!W$200)*Account_Register!$N$33*Assumptions!$F$171,0)+IF(AND(Assumptions!W$189&gt;Account_Register!$O$34,MOD(Assumptions!W$189-Account_Register!$O$34,12)=0),V36*Assumptions!$C$137*(1+Assumptions!W$200)*Account_Register!$N$34*Assumptions!$F$171,0)))</f>
        <v>429.32939568</v>
      </c>
      <c r="X108" s="65" t="n">
        <f aca="false">IF(X$5="A",Inputs_Actuals!X205,(IF(AND(Assumptions!X$189&gt;Account_Register!$O$29,MOD(Assumptions!X$189-Account_Register!$O$29,12)=0),W31*Assumptions!$C$137*(1+Assumptions!X$200)*Account_Register!$N$29*Assumptions!$F$171,0)+IF(AND(Assumptions!X$189&gt;Account_Register!$O$30,MOD(Assumptions!X$189-Account_Register!$O$30,12)=0),W32*Assumptions!$C$137*(1+Assumptions!X$200)*Account_Register!$N$30*Assumptions!$F$171,0)+IF(AND(Assumptions!X$189&gt;Account_Register!$O$31,MOD(Assumptions!X$189-Account_Register!$O$31,12)=0),W33*Assumptions!$C$137*(1+Assumptions!X$200)*Account_Register!$N$31*Assumptions!$F$171,0)+IF(AND(Assumptions!X$189&gt;Account_Register!$O$32,MOD(Assumptions!X$189-Account_Register!$O$32,12)=0),W34*Assumptions!$C$137*(1+Assumptions!X$200)*Account_Register!$N$32*Assumptions!$F$171,0)+IF(AND(Assumptions!X$189&gt;Account_Register!$O$33,MOD(Assumptions!X$189-Account_Register!$O$33,12)=0),W35*Assumptions!$C$137*(1+Assumptions!X$200)*Account_Register!$N$33*Assumptions!$F$171,0)+IF(AND(Assumptions!X$189&gt;Account_Register!$O$34,MOD(Assumptions!X$189-Account_Register!$O$34,12)=0),W36*Assumptions!$C$137*(1+Assumptions!X$200)*Account_Register!$N$34*Assumptions!$F$171,0)))</f>
        <v>0</v>
      </c>
      <c r="Y108" s="65" t="n">
        <f aca="false">IF(Y$5="A",Inputs_Actuals!Y205,(X15*Account_Register!$M$13*(1+Assumptions!Y$200)*Account_Register!$N$13*Assumptions!$F$171+X21*Account_Register!$M$19*(1+Assumptions!Y$200)*Account_Register!$N$19*Assumptions!$F$171+X27*Account_Register!$M$25*(1+Assumptions!Y$200)*Account_Register!$N$25*Assumptions!$F$171+IF(AND(Assumptions!Y$189&gt;Account_Register!$O$29,MOD(Assumptions!Y$189-Account_Register!$O$29,12)=0),X31*Assumptions!$C$137*(1+Assumptions!Y$200)*Account_Register!$N$29*Assumptions!$F$171,0)+IF(AND(Assumptions!Y$189&gt;Account_Register!$O$30,MOD(Assumptions!Y$189-Account_Register!$O$30,12)=0),X32*Assumptions!$C$137*(1+Assumptions!Y$200)*Account_Register!$N$30*Assumptions!$F$171,0)+IF(AND(Assumptions!Y$189&gt;Account_Register!$O$31,MOD(Assumptions!Y$189-Account_Register!$O$31,12)=0),X33*Assumptions!$C$137*(1+Assumptions!Y$200)*Account_Register!$N$31*Assumptions!$F$171,0)+IF(AND(Assumptions!Y$189&gt;Account_Register!$O$32,MOD(Assumptions!Y$189-Account_Register!$O$32,12)=0),X34*Assumptions!$C$137*(1+Assumptions!Y$200)*Account_Register!$N$32*Assumptions!$F$171,0)+IF(AND(Assumptions!Y$189&gt;Account_Register!$O$33,MOD(Assumptions!Y$189-Account_Register!$O$33,12)=0),X35*Assumptions!$C$137*(1+Assumptions!Y$200)*Account_Register!$N$33*Assumptions!$F$171,0)+IF(AND(Assumptions!Y$189&gt;Account_Register!$O$34,MOD(Assumptions!Y$189-Account_Register!$O$34,12)=0),X36*Assumptions!$C$137*(1+Assumptions!Y$200)*Account_Register!$N$34*Assumptions!$F$171,0)))</f>
        <v>905.341649994056</v>
      </c>
      <c r="Z108" s="65" t="n">
        <f aca="false">IF(Z$5="A",Inputs_Actuals!Z205,(Y12*Account_Register!$M$10*(1+Assumptions!Z$200)*Account_Register!$N$10*Assumptions!$F$171+IF(AND(Assumptions!Z$189&gt;Account_Register!$O$29,MOD(Assumptions!Z$189-Account_Register!$O$29,12)=0),Y31*Assumptions!$C$137*(1+Assumptions!Z$200)*Account_Register!$N$29*Assumptions!$F$171,0)+IF(AND(Assumptions!Z$189&gt;Account_Register!$O$30,MOD(Assumptions!Z$189-Account_Register!$O$30,12)=0),Y32*Assumptions!$C$137*(1+Assumptions!Z$200)*Account_Register!$N$30*Assumptions!$F$171,0)+IF(AND(Assumptions!Z$189&gt;Account_Register!$O$31,MOD(Assumptions!Z$189-Account_Register!$O$31,12)=0),Y33*Assumptions!$C$137*(1+Assumptions!Z$200)*Account_Register!$N$31*Assumptions!$F$171,0)+IF(AND(Assumptions!Z$189&gt;Account_Register!$O$32,MOD(Assumptions!Z$189-Account_Register!$O$32,12)=0),Y34*Assumptions!$C$137*(1+Assumptions!Z$200)*Account_Register!$N$32*Assumptions!$F$171,0)+IF(AND(Assumptions!Z$189&gt;Account_Register!$O$33,MOD(Assumptions!Z$189-Account_Register!$O$33,12)=0),Y35*Assumptions!$C$137*(1+Assumptions!Z$200)*Account_Register!$N$33*Assumptions!$F$171,0)+IF(AND(Assumptions!Z$189&gt;Account_Register!$O$34,MOD(Assumptions!Z$189-Account_Register!$O$34,12)=0),Y36*Assumptions!$C$137*(1+Assumptions!Z$200)*Account_Register!$N$34*Assumptions!$F$171,0)))</f>
        <v>314.244766948133</v>
      </c>
      <c r="AA108" s="65" t="n">
        <f aca="false">IF(AA$5="A",Inputs_Actuals!AA205,(Z16*Account_Register!$M$14*(1+Assumptions!AA$200)*Account_Register!$N$14*Assumptions!$F$171+Z22*Account_Register!$M$20*(1+Assumptions!AA$200)*Account_Register!$N$20*Assumptions!$F$171+Z28*Account_Register!$M$26*(1+Assumptions!AA$200)*Account_Register!$N$26*Assumptions!$F$171+IF(AND(Assumptions!AA$189&gt;Account_Register!$O$29,MOD(Assumptions!AA$189-Account_Register!$O$29,12)=0),Z31*Assumptions!$C$137*(1+Assumptions!AA$200)*Account_Register!$N$29*Assumptions!$F$171,0)+IF(AND(Assumptions!AA$189&gt;Account_Register!$O$30,MOD(Assumptions!AA$189-Account_Register!$O$30,12)=0),Z32*Assumptions!$C$137*(1+Assumptions!AA$200)*Account_Register!$N$30*Assumptions!$F$171,0)+IF(AND(Assumptions!AA$189&gt;Account_Register!$O$31,MOD(Assumptions!AA$189-Account_Register!$O$31,12)=0),Z33*Assumptions!$C$137*(1+Assumptions!AA$200)*Account_Register!$N$31*Assumptions!$F$171,0)+IF(AND(Assumptions!AA$189&gt;Account_Register!$O$32,MOD(Assumptions!AA$189-Account_Register!$O$32,12)=0),Z34*Assumptions!$C$137*(1+Assumptions!AA$200)*Account_Register!$N$32*Assumptions!$F$171,0)+IF(AND(Assumptions!AA$189&gt;Account_Register!$O$33,MOD(Assumptions!AA$189-Account_Register!$O$33,12)=0),Z35*Assumptions!$C$137*(1+Assumptions!AA$200)*Account_Register!$N$33*Assumptions!$F$171,0)+IF(AND(Assumptions!AA$189&gt;Account_Register!$O$34,MOD(Assumptions!AA$189-Account_Register!$O$34,12)=0),Z36*Assumptions!$C$137*(1+Assumptions!AA$200)*Account_Register!$N$34*Assumptions!$F$171,0)))</f>
        <v>937.497186724454</v>
      </c>
      <c r="AB108" s="65" t="n">
        <f aca="false">IF(AB$5="A",Inputs_Actuals!AB205,(IF(AND(Assumptions!AB$189&gt;Account_Register!$O$29,MOD(Assumptions!AB$189-Account_Register!$O$29,12)=0),AA31*Assumptions!$C$137*(1+Assumptions!AB$200)*Account_Register!$N$29*Assumptions!$F$171,0)+IF(AND(Assumptions!AB$189&gt;Account_Register!$O$30,MOD(Assumptions!AB$189-Account_Register!$O$30,12)=0),AA32*Assumptions!$C$137*(1+Assumptions!AB$200)*Account_Register!$N$30*Assumptions!$F$171,0)+IF(AND(Assumptions!AB$189&gt;Account_Register!$O$31,MOD(Assumptions!AB$189-Account_Register!$O$31,12)=0),AA33*Assumptions!$C$137*(1+Assumptions!AB$200)*Account_Register!$N$31*Assumptions!$F$171,0)+IF(AND(Assumptions!AB$189&gt;Account_Register!$O$32,MOD(Assumptions!AB$189-Account_Register!$O$32,12)=0),AA34*Assumptions!$C$137*(1+Assumptions!AB$200)*Account_Register!$N$32*Assumptions!$F$171,0)+IF(AND(Assumptions!AB$189&gt;Account_Register!$O$33,MOD(Assumptions!AB$189-Account_Register!$O$33,12)=0),AA35*Assumptions!$C$137*(1+Assumptions!AB$200)*Account_Register!$N$33*Assumptions!$F$171,0)+IF(AND(Assumptions!AB$189&gt;Account_Register!$O$34,MOD(Assumptions!AB$189-Account_Register!$O$34,12)=0),AA36*Assumptions!$C$137*(1+Assumptions!AB$200)*Account_Register!$N$34*Assumptions!$F$171,0)))</f>
        <v>220.1625</v>
      </c>
    </row>
    <row r="109" customFormat="false" ht="15" hidden="false" customHeight="false" outlineLevel="0" collapsed="false">
      <c r="A109" s="28" t="s">
        <v>1042</v>
      </c>
      <c r="B109" s="63"/>
      <c r="C109" s="64" t="n">
        <f aca="false">SUM(E109:P109)</f>
        <v>0</v>
      </c>
      <c r="D109" s="64" t="n">
        <f aca="false">SUM(Q109:AB109)</f>
        <v>0</v>
      </c>
      <c r="E109" s="65" t="n">
        <f aca="false">IF(E$5="A",-Inputs_Actuals!E207,0)</f>
        <v>-0</v>
      </c>
      <c r="F109" s="65" t="n">
        <f aca="false">IF(F$5="A",-Inputs_Actuals!F207,0)</f>
        <v>-0</v>
      </c>
      <c r="G109" s="65" t="n">
        <f aca="false">IF(G$5="A",-Inputs_Actuals!G207,0)</f>
        <v>-0</v>
      </c>
      <c r="H109" s="65" t="n">
        <f aca="false">IF(H$5="A",-Inputs_Actuals!H207,0)</f>
        <v>-0</v>
      </c>
      <c r="I109" s="65" t="n">
        <f aca="false">IF(I$5="A",-Inputs_Actuals!I207,0)</f>
        <v>-0</v>
      </c>
      <c r="J109" s="65" t="n">
        <f aca="false">IF(J$5="A",-Inputs_Actuals!J207,0)</f>
        <v>-0</v>
      </c>
      <c r="K109" s="65" t="n">
        <f aca="false">IF(K$5="A",-Inputs_Actuals!K207,0)</f>
        <v>-0</v>
      </c>
      <c r="L109" s="65" t="n">
        <f aca="false">IF(L$5="A",-Inputs_Actuals!L207,0)</f>
        <v>-0</v>
      </c>
      <c r="M109" s="65" t="n">
        <f aca="false">IF(M$5="A",-Inputs_Actuals!M207,0)</f>
        <v>0</v>
      </c>
      <c r="N109" s="65" t="n">
        <f aca="false">IF(N$5="A",-Inputs_Actuals!N207,0)</f>
        <v>0</v>
      </c>
      <c r="O109" s="65" t="n">
        <f aca="false">IF(O$5="A",-Inputs_Actuals!O207,0)</f>
        <v>0</v>
      </c>
      <c r="P109" s="65" t="n">
        <f aca="false">IF(P$5="A",-Inputs_Actuals!P207,0)</f>
        <v>0</v>
      </c>
      <c r="Q109" s="65" t="n">
        <f aca="false">IF(Q$5="A",-Inputs_Actuals!Q207,0)</f>
        <v>0</v>
      </c>
      <c r="R109" s="65" t="n">
        <f aca="false">IF(R$5="A",-Inputs_Actuals!R207,0)</f>
        <v>0</v>
      </c>
      <c r="S109" s="65" t="n">
        <f aca="false">IF(S$5="A",-Inputs_Actuals!S207,0)</f>
        <v>0</v>
      </c>
      <c r="T109" s="65" t="n">
        <f aca="false">IF(T$5="A",-Inputs_Actuals!T207,0)</f>
        <v>0</v>
      </c>
      <c r="U109" s="65" t="n">
        <f aca="false">IF(U$5="A",-Inputs_Actuals!U207,0)</f>
        <v>0</v>
      </c>
      <c r="V109" s="65" t="n">
        <f aca="false">IF(V$5="A",-Inputs_Actuals!V207,0)</f>
        <v>0</v>
      </c>
      <c r="W109" s="65" t="n">
        <f aca="false">IF(W$5="A",-Inputs_Actuals!W207,0)</f>
        <v>0</v>
      </c>
      <c r="X109" s="65" t="n">
        <f aca="false">IF(X$5="A",-Inputs_Actuals!X207,0)</f>
        <v>0</v>
      </c>
      <c r="Y109" s="65" t="n">
        <f aca="false">IF(Y$5="A",-Inputs_Actuals!Y207,0)</f>
        <v>0</v>
      </c>
      <c r="Z109" s="65" t="n">
        <f aca="false">IF(Z$5="A",-Inputs_Actuals!Z207,0)</f>
        <v>0</v>
      </c>
      <c r="AA109" s="65" t="n">
        <f aca="false">IF(AA$5="A",-Inputs_Actuals!AA207,0)</f>
        <v>0</v>
      </c>
      <c r="AB109" s="65" t="n">
        <f aca="false">IF(AB$5="A",-Inputs_Actuals!AB207,0)</f>
        <v>0</v>
      </c>
    </row>
    <row r="110" customFormat="false" ht="15" hidden="false" customHeight="false" outlineLevel="0" collapsed="false">
      <c r="A110" s="28" t="s">
        <v>1043</v>
      </c>
      <c r="B110" s="63"/>
      <c r="C110" s="64" t="n">
        <f aca="false">SUM(E110:P110)</f>
        <v>3716.179297</v>
      </c>
      <c r="D110" s="64" t="n">
        <f aca="false">SUM(Q110:AB110)</f>
        <v>4467.93722811629</v>
      </c>
      <c r="E110" s="65" t="n">
        <f aca="false">Inputs_Actuals!E206</f>
        <v>814.99</v>
      </c>
      <c r="F110" s="65" t="n">
        <f aca="false">IF(F$5="A",Inputs_Actuals!F206,(E13*Account_Register!$M$11*Assumptions!F$200+IF(AND(Assumptions!F$189&gt;Account_Register!$O$29,MOD(Assumptions!F$189-Account_Register!$O$29,12)=0),E31*Assumptions!$C$137*Assumptions!F$200,0)+IF(AND(Assumptions!F$189&gt;Account_Register!$O$30,MOD(Assumptions!F$189-Account_Register!$O$30,12)=0),E32*Assumptions!$C$137*Assumptions!F$200,0)+IF(AND(Assumptions!F$189&gt;Account_Register!$O$31,MOD(Assumptions!F$189-Account_Register!$O$31,12)=0),E33*Assumptions!$C$137*Assumptions!F$200,0)+IF(AND(Assumptions!F$189&gt;Account_Register!$O$32,MOD(Assumptions!F$189-Account_Register!$O$32,12)=0),E34*Assumptions!$C$137*Assumptions!F$200,0)+IF(AND(Assumptions!F$189&gt;Account_Register!$O$33,MOD(Assumptions!F$189-Account_Register!$O$33,12)=0),E35*Assumptions!$C$137*Assumptions!F$200,0)+IF(AND(Assumptions!F$189&gt;Account_Register!$O$34,MOD(Assumptions!F$189-Account_Register!$O$34,12)=0),E36*Assumptions!$C$137*Assumptions!F$200,0)))</f>
        <v>0</v>
      </c>
      <c r="G110" s="65" t="n">
        <f aca="false">IF(G$5="A",Inputs_Actuals!G206,(F10*Account_Register!$M$8*Assumptions!G$200+F18*Account_Register!$M$16*Assumptions!G$200+F24*Account_Register!$M$22*Assumptions!G$200+IF(AND(Assumptions!G$189&gt;Account_Register!$O$29,MOD(Assumptions!G$189-Account_Register!$O$29,12)=0),F31*Assumptions!$C$137*Assumptions!G$200,0)+IF(AND(Assumptions!G$189&gt;Account_Register!$O$30,MOD(Assumptions!G$189-Account_Register!$O$30,12)=0),F32*Assumptions!$C$137*Assumptions!G$200,0)+IF(AND(Assumptions!G$189&gt;Account_Register!$O$31,MOD(Assumptions!G$189-Account_Register!$O$31,12)=0),F33*Assumptions!$C$137*Assumptions!G$200,0)+IF(AND(Assumptions!G$189&gt;Account_Register!$O$32,MOD(Assumptions!G$189-Account_Register!$O$32,12)=0),F34*Assumptions!$C$137*Assumptions!G$200,0)+IF(AND(Assumptions!G$189&gt;Account_Register!$O$33,MOD(Assumptions!G$189-Account_Register!$O$33,12)=0),F35*Assumptions!$C$137*Assumptions!G$200,0)+IF(AND(Assumptions!G$189&gt;Account_Register!$O$34,MOD(Assumptions!G$189-Account_Register!$O$34,12)=0),F36*Assumptions!$C$137*Assumptions!G$200,0)))</f>
        <v>619.37</v>
      </c>
      <c r="H110" s="65" t="n">
        <f aca="false">IF(H$5="A",Inputs_Actuals!H206,(G19*Account_Register!$M$17*Assumptions!H$200+IF(AND(Assumptions!H$189&gt;Account_Register!$O$29,MOD(Assumptions!H$189-Account_Register!$O$29,12)=0),G31*Assumptions!$C$137*Assumptions!H$200,0)+IF(AND(Assumptions!H$189&gt;Account_Register!$O$30,MOD(Assumptions!H$189-Account_Register!$O$30,12)=0),G32*Assumptions!$C$137*Assumptions!H$200,0)+IF(AND(Assumptions!H$189&gt;Account_Register!$O$31,MOD(Assumptions!H$189-Account_Register!$O$31,12)=0),G33*Assumptions!$C$137*Assumptions!H$200,0)+IF(AND(Assumptions!H$189&gt;Account_Register!$O$32,MOD(Assumptions!H$189-Account_Register!$O$32,12)=0),G34*Assumptions!$C$137*Assumptions!H$200,0)+IF(AND(Assumptions!H$189&gt;Account_Register!$O$33,MOD(Assumptions!H$189-Account_Register!$O$33,12)=0),G35*Assumptions!$C$137*Assumptions!H$200,0)+IF(AND(Assumptions!H$189&gt;Account_Register!$O$34,MOD(Assumptions!H$189-Account_Register!$O$34,12)=0),G36*Assumptions!$C$137*Assumptions!H$200,0)))</f>
        <v>152.92</v>
      </c>
      <c r="I110" s="65" t="n">
        <f aca="false">IF(I$5="A",Inputs_Actuals!I206,(H14*Account_Register!$M$12*Assumptions!I$200+H25*Account_Register!$M$23*Assumptions!I$200+IF(AND(Assumptions!I$189&gt;Account_Register!$O$29,MOD(Assumptions!I$189-Account_Register!$O$29,12)=0),H31*Assumptions!$C$137*Assumptions!I$200,0)+IF(AND(Assumptions!I$189&gt;Account_Register!$O$30,MOD(Assumptions!I$189-Account_Register!$O$30,12)=0),H32*Assumptions!$C$137*Assumptions!I$200,0)+IF(AND(Assumptions!I$189&gt;Account_Register!$O$31,MOD(Assumptions!I$189-Account_Register!$O$31,12)=0),H33*Assumptions!$C$137*Assumptions!I$200,0)+IF(AND(Assumptions!I$189&gt;Account_Register!$O$32,MOD(Assumptions!I$189-Account_Register!$O$32,12)=0),H34*Assumptions!$C$137*Assumptions!I$200,0)+IF(AND(Assumptions!I$189&gt;Account_Register!$O$33,MOD(Assumptions!I$189-Account_Register!$O$33,12)=0),H35*Assumptions!$C$137*Assumptions!I$200,0)+IF(AND(Assumptions!I$189&gt;Account_Register!$O$34,MOD(Assumptions!I$189-Account_Register!$O$34,12)=0),H36*Assumptions!$C$137*Assumptions!I$200,0)))</f>
        <v>321.65</v>
      </c>
      <c r="J110" s="65" t="n">
        <f aca="false">IF(J$5="A",Inputs_Actuals!J206,(I11*Account_Register!$M$9*Assumptions!J$200+I20*Account_Register!$M$18*Assumptions!J$200+IF(AND(Assumptions!J$189&gt;Account_Register!$O$29,MOD(Assumptions!J$189-Account_Register!$O$29,12)=0),I31*Assumptions!$C$137*Assumptions!J$200,0)+IF(AND(Assumptions!J$189&gt;Account_Register!$O$30,MOD(Assumptions!J$189-Account_Register!$O$30,12)=0),I32*Assumptions!$C$137*Assumptions!J$200,0)+IF(AND(Assumptions!J$189&gt;Account_Register!$O$31,MOD(Assumptions!J$189-Account_Register!$O$31,12)=0),I33*Assumptions!$C$137*Assumptions!J$200,0)+IF(AND(Assumptions!J$189&gt;Account_Register!$O$32,MOD(Assumptions!J$189-Account_Register!$O$32,12)=0),I34*Assumptions!$C$137*Assumptions!J$200,0)+IF(AND(Assumptions!J$189&gt;Account_Register!$O$33,MOD(Assumptions!J$189-Account_Register!$O$33,12)=0),I35*Assumptions!$C$137*Assumptions!J$200,0)+IF(AND(Assumptions!J$189&gt;Account_Register!$O$34,MOD(Assumptions!J$189-Account_Register!$O$34,12)=0),I36*Assumptions!$C$137*Assumptions!J$200,0)))</f>
        <v>393.67</v>
      </c>
      <c r="K110" s="65" t="n">
        <f aca="false">IF(K$5="A",Inputs_Actuals!K206,(J26*Account_Register!$M$24*Assumptions!K$200+IF(AND(Assumptions!K$189&gt;Account_Register!$O$29,MOD(Assumptions!K$189-Account_Register!$O$29,12)=0),J31*Assumptions!$C$137*Assumptions!K$200,0)+IF(AND(Assumptions!K$189&gt;Account_Register!$O$30,MOD(Assumptions!K$189-Account_Register!$O$30,12)=0),J32*Assumptions!$C$137*Assumptions!K$200,0)+IF(AND(Assumptions!K$189&gt;Account_Register!$O$31,MOD(Assumptions!K$189-Account_Register!$O$31,12)=0),J33*Assumptions!$C$137*Assumptions!K$200,0)+IF(AND(Assumptions!K$189&gt;Account_Register!$O$32,MOD(Assumptions!K$189-Account_Register!$O$32,12)=0),J34*Assumptions!$C$137*Assumptions!K$200,0)+IF(AND(Assumptions!K$189&gt;Account_Register!$O$33,MOD(Assumptions!K$189-Account_Register!$O$33,12)=0),J35*Assumptions!$C$137*Assumptions!K$200,0)+IF(AND(Assumptions!K$189&gt;Account_Register!$O$34,MOD(Assumptions!K$189-Account_Register!$O$34,12)=0),J36*Assumptions!$C$137*Assumptions!K$200,0)))</f>
        <v>144</v>
      </c>
      <c r="L110" s="65" t="n">
        <f aca="false">IF(L$5="A",Inputs_Actuals!L206,(IF(AND(Assumptions!L$189&gt;Account_Register!$O$29,MOD(Assumptions!L$189-Account_Register!$O$29,12)=0),K31*Assumptions!$C$137*Assumptions!L$200,0)+IF(AND(Assumptions!L$189&gt;Account_Register!$O$30,MOD(Assumptions!L$189-Account_Register!$O$30,12)=0),K32*Assumptions!$C$137*Assumptions!L$200,0)+IF(AND(Assumptions!L$189&gt;Account_Register!$O$31,MOD(Assumptions!L$189-Account_Register!$O$31,12)=0),K33*Assumptions!$C$137*Assumptions!L$200,0)+IF(AND(Assumptions!L$189&gt;Account_Register!$O$32,MOD(Assumptions!L$189-Account_Register!$O$32,12)=0),K34*Assumptions!$C$137*Assumptions!L$200,0)+IF(AND(Assumptions!L$189&gt;Account_Register!$O$33,MOD(Assumptions!L$189-Account_Register!$O$33,12)=0),K35*Assumptions!$C$137*Assumptions!L$200,0)+IF(AND(Assumptions!L$189&gt;Account_Register!$O$34,MOD(Assumptions!L$189-Account_Register!$O$34,12)=0),K36*Assumptions!$C$137*Assumptions!L$200,0)))</f>
        <v>0</v>
      </c>
      <c r="M110" s="65" t="n">
        <f aca="false">IF(M$5="A",Inputs_Actuals!M206,(L15*Account_Register!$M$13*Assumptions!M$200+L21*Account_Register!$M$19*Assumptions!M$200+L27*Account_Register!$M$25*Assumptions!M$200+IF(AND(Assumptions!M$189&gt;Account_Register!$O$29,MOD(Assumptions!M$189-Account_Register!$O$29,12)=0),L31*Assumptions!$C$137*Assumptions!M$200,0)+IF(AND(Assumptions!M$189&gt;Account_Register!$O$30,MOD(Assumptions!M$189-Account_Register!$O$30,12)=0),L32*Assumptions!$C$137*Assumptions!M$200,0)+IF(AND(Assumptions!M$189&gt;Account_Register!$O$31,MOD(Assumptions!M$189-Account_Register!$O$31,12)=0),L33*Assumptions!$C$137*Assumptions!M$200,0)+IF(AND(Assumptions!M$189&gt;Account_Register!$O$32,MOD(Assumptions!M$189-Account_Register!$O$32,12)=0),L34*Assumptions!$C$137*Assumptions!M$200,0)+IF(AND(Assumptions!M$189&gt;Account_Register!$O$33,MOD(Assumptions!M$189-Account_Register!$O$33,12)=0),L35*Assumptions!$C$137*Assumptions!M$200,0)+IF(AND(Assumptions!M$189&gt;Account_Register!$O$34,MOD(Assumptions!M$189-Account_Register!$O$34,12)=0),L36*Assumptions!$C$137*Assumptions!M$200,0)))</f>
        <v>555.862812</v>
      </c>
      <c r="N110" s="65" t="n">
        <f aca="false">IF(N$5="A",Inputs_Actuals!N206,(M12*Account_Register!$M$10*Assumptions!N$200+IF(AND(Assumptions!N$189&gt;Account_Register!$O$29,MOD(Assumptions!N$189-Account_Register!$O$29,12)=0),M31*Assumptions!$C$137*Assumptions!N$200,0)+IF(AND(Assumptions!N$189&gt;Account_Register!$O$30,MOD(Assumptions!N$189-Account_Register!$O$30,12)=0),M32*Assumptions!$C$137*Assumptions!N$200,0)+IF(AND(Assumptions!N$189&gt;Account_Register!$O$31,MOD(Assumptions!N$189-Account_Register!$O$31,12)=0),M33*Assumptions!$C$137*Assumptions!N$200,0)+IF(AND(Assumptions!N$189&gt;Account_Register!$O$32,MOD(Assumptions!N$189-Account_Register!$O$32,12)=0),M34*Assumptions!$C$137*Assumptions!N$200,0)+IF(AND(Assumptions!N$189&gt;Account_Register!$O$33,MOD(Assumptions!N$189-Account_Register!$O$33,12)=0),M35*Assumptions!$C$137*Assumptions!N$200,0)+IF(AND(Assumptions!N$189&gt;Account_Register!$O$34,MOD(Assumptions!N$189-Account_Register!$O$34,12)=0),M36*Assumptions!$C$137*Assumptions!N$200,0)))</f>
        <v>229.688145</v>
      </c>
      <c r="O110" s="65" t="n">
        <f aca="false">IF(O$5="A",Inputs_Actuals!O206,(N16*Account_Register!$M$14*Assumptions!O$200+N22*Account_Register!$M$20*Assumptions!O$200+N28*Account_Register!$M$26*Assumptions!O$200+IF(AND(Assumptions!O$189&gt;Account_Register!$O$29,MOD(Assumptions!O$189-Account_Register!$O$29,12)=0),N31*Assumptions!$C$137*Assumptions!O$200,0)+IF(AND(Assumptions!O$189&gt;Account_Register!$O$30,MOD(Assumptions!O$189-Account_Register!$O$30,12)=0),N32*Assumptions!$C$137*Assumptions!O$200,0)+IF(AND(Assumptions!O$189&gt;Account_Register!$O$31,MOD(Assumptions!O$189-Account_Register!$O$31,12)=0),N33*Assumptions!$C$137*Assumptions!O$200,0)+IF(AND(Assumptions!O$189&gt;Account_Register!$O$32,MOD(Assumptions!O$189-Account_Register!$O$32,12)=0),N34*Assumptions!$C$137*Assumptions!O$200,0)+IF(AND(Assumptions!O$189&gt;Account_Register!$O$33,MOD(Assumptions!O$189-Account_Register!$O$33,12)=0),N35*Assumptions!$C$137*Assumptions!O$200,0)+IF(AND(Assumptions!O$189&gt;Account_Register!$O$34,MOD(Assumptions!O$189-Account_Register!$O$34,12)=0),N36*Assumptions!$C$137*Assumptions!O$200,0)))</f>
        <v>484.02834</v>
      </c>
      <c r="P110" s="65" t="n">
        <f aca="false">IF(P$5="A",Inputs_Actuals!P206,(IF(AND(Assumptions!P$189&gt;Account_Register!$O$29,MOD(Assumptions!P$189-Account_Register!$O$29,12)=0),O31*Assumptions!$C$137*Assumptions!P$200,0)+IF(AND(Assumptions!P$189&gt;Account_Register!$O$30,MOD(Assumptions!P$189-Account_Register!$O$30,12)=0),O32*Assumptions!$C$137*Assumptions!P$200,0)+IF(AND(Assumptions!P$189&gt;Account_Register!$O$31,MOD(Assumptions!P$189-Account_Register!$O$31,12)=0),O33*Assumptions!$C$137*Assumptions!P$200,0)+IF(AND(Assumptions!P$189&gt;Account_Register!$O$32,MOD(Assumptions!P$189-Account_Register!$O$32,12)=0),O34*Assumptions!$C$137*Assumptions!P$200,0)+IF(AND(Assumptions!P$189&gt;Account_Register!$O$33,MOD(Assumptions!P$189-Account_Register!$O$33,12)=0),O35*Assumptions!$C$137*Assumptions!P$200,0)+IF(AND(Assumptions!P$189&gt;Account_Register!$O$34,MOD(Assumptions!P$189-Account_Register!$O$34,12)=0),O36*Assumptions!$C$137*Assumptions!P$200,0)))</f>
        <v>0</v>
      </c>
      <c r="Q110" s="65" t="n">
        <f aca="false">IF(Q$5="A",Inputs_Actuals!Q206,(P9*Account_Register!$M$7*Assumptions!Q$200+P17*Account_Register!$M$15*Assumptions!Q$200+P23*Account_Register!$M$21*Assumptions!Q$200+IF(AND(Assumptions!Q$189&gt;Account_Register!$O$29,MOD(Assumptions!Q$189-Account_Register!$O$29,12)=0),P31*Assumptions!$C$137*Assumptions!Q$200,0)+IF(AND(Assumptions!Q$189&gt;Account_Register!$O$30,MOD(Assumptions!Q$189-Account_Register!$O$30,12)=0),P32*Assumptions!$C$137*Assumptions!Q$200,0)+IF(AND(Assumptions!Q$189&gt;Account_Register!$O$31,MOD(Assumptions!Q$189-Account_Register!$O$31,12)=0),P33*Assumptions!$C$137*Assumptions!Q$200,0)+IF(AND(Assumptions!Q$189&gt;Account_Register!$O$32,MOD(Assumptions!Q$189-Account_Register!$O$32,12)=0),P34*Assumptions!$C$137*Assumptions!Q$200,0)+IF(AND(Assumptions!Q$189&gt;Account_Register!$O$33,MOD(Assumptions!Q$189-Account_Register!$O$33,12)=0),P35*Assumptions!$C$137*Assumptions!Q$200,0)+IF(AND(Assumptions!Q$189&gt;Account_Register!$O$34,MOD(Assumptions!Q$189-Account_Register!$O$34,12)=0),P36*Assumptions!$C$137*Assumptions!Q$200,0)))</f>
        <v>785.58291</v>
      </c>
      <c r="R110" s="65" t="n">
        <f aca="false">IF(R$5="A",Inputs_Actuals!R206,(Q13*Account_Register!$M$11*Assumptions!R$200+IF(AND(Assumptions!R$189&gt;Account_Register!$O$29,MOD(Assumptions!R$189-Account_Register!$O$29,12)=0),Q31*Assumptions!$C$137*Assumptions!R$200,0)+IF(AND(Assumptions!R$189&gt;Account_Register!$O$30,MOD(Assumptions!R$189-Account_Register!$O$30,12)=0),Q32*Assumptions!$C$137*Assumptions!R$200,0)+IF(AND(Assumptions!R$189&gt;Account_Register!$O$31,MOD(Assumptions!R$189-Account_Register!$O$31,12)=0),Q33*Assumptions!$C$137*Assumptions!R$200,0)+IF(AND(Assumptions!R$189&gt;Account_Register!$O$32,MOD(Assumptions!R$189-Account_Register!$O$32,12)=0),Q34*Assumptions!$C$137*Assumptions!R$200,0)+IF(AND(Assumptions!R$189&gt;Account_Register!$O$33,MOD(Assumptions!R$189-Account_Register!$O$33,12)=0),Q35*Assumptions!$C$137*Assumptions!R$200,0)+IF(AND(Assumptions!R$189&gt;Account_Register!$O$34,MOD(Assumptions!R$189-Account_Register!$O$34,12)=0),Q36*Assumptions!$C$137*Assumptions!R$200,0)))</f>
        <v>0</v>
      </c>
      <c r="S110" s="65" t="n">
        <f aca="false">IF(S$5="A",Inputs_Actuals!S206,(R10*Account_Register!$M$8*Assumptions!S$200+R18*Account_Register!$M$16*Assumptions!S$200+R24*Account_Register!$M$22*Assumptions!S$200+IF(AND(Assumptions!S$189&gt;Account_Register!$O$29,MOD(Assumptions!S$189-Account_Register!$O$29,12)=0),R31*Assumptions!$C$137*Assumptions!S$200,0)+IF(AND(Assumptions!S$189&gt;Account_Register!$O$30,MOD(Assumptions!S$189-Account_Register!$O$30,12)=0),R32*Assumptions!$C$137*Assumptions!S$200,0)+IF(AND(Assumptions!S$189&gt;Account_Register!$O$31,MOD(Assumptions!S$189-Account_Register!$O$31,12)=0),R33*Assumptions!$C$137*Assumptions!S$200,0)+IF(AND(Assumptions!S$189&gt;Account_Register!$O$32,MOD(Assumptions!S$189-Account_Register!$O$32,12)=0),R34*Assumptions!$C$137*Assumptions!S$200,0)+IF(AND(Assumptions!S$189&gt;Account_Register!$O$33,MOD(Assumptions!S$189-Account_Register!$O$33,12)=0),R35*Assumptions!$C$137*Assumptions!S$200,0)+IF(AND(Assumptions!S$189&gt;Account_Register!$O$34,MOD(Assumptions!S$189-Account_Register!$O$34,12)=0),R36*Assumptions!$C$137*Assumptions!S$200,0)))</f>
        <v>645.090105</v>
      </c>
      <c r="T110" s="65" t="n">
        <f aca="false">IF(T$5="A",Inputs_Actuals!T206,(S19*Account_Register!$M$17*Assumptions!T$200+S29*Account_Register!$M$27*Assumptions!T$200+IF(AND(Assumptions!T$189&gt;Account_Register!$O$29,MOD(Assumptions!T$189-Account_Register!$O$29,12)=0),S31*Assumptions!$C$137*Assumptions!T$200,0)+IF(AND(Assumptions!T$189&gt;Account_Register!$O$30,MOD(Assumptions!T$189-Account_Register!$O$30,12)=0),S32*Assumptions!$C$137*Assumptions!T$200,0)+IF(AND(Assumptions!T$189&gt;Account_Register!$O$31,MOD(Assumptions!T$189-Account_Register!$O$31,12)=0),S33*Assumptions!$C$137*Assumptions!T$200,0)+IF(AND(Assumptions!T$189&gt;Account_Register!$O$32,MOD(Assumptions!T$189-Account_Register!$O$32,12)=0),S34*Assumptions!$C$137*Assumptions!T$200,0)+IF(AND(Assumptions!T$189&gt;Account_Register!$O$33,MOD(Assumptions!T$189-Account_Register!$O$33,12)=0),S35*Assumptions!$C$137*Assumptions!T$200,0)+IF(AND(Assumptions!T$189&gt;Account_Register!$O$34,MOD(Assumptions!T$189-Account_Register!$O$34,12)=0),S36*Assumptions!$C$137*Assumptions!T$200,0)))</f>
        <v>478.96827</v>
      </c>
      <c r="U110" s="65" t="n">
        <f aca="false">IF(U$5="A",Inputs_Actuals!U206,(T14*Account_Register!$M$12*Assumptions!U$200+T25*Account_Register!$M$23*Assumptions!U$200+IF(AND(Assumptions!U$189&gt;Account_Register!$O$29,MOD(Assumptions!U$189-Account_Register!$O$29,12)=0),T31*Assumptions!$C$137*Assumptions!U$200,0)+IF(AND(Assumptions!U$189&gt;Account_Register!$O$30,MOD(Assumptions!U$189-Account_Register!$O$30,12)=0),T32*Assumptions!$C$137*Assumptions!U$200,0)+IF(AND(Assumptions!U$189&gt;Account_Register!$O$31,MOD(Assumptions!U$189-Account_Register!$O$31,12)=0),T33*Assumptions!$C$137*Assumptions!U$200,0)+IF(AND(Assumptions!U$189&gt;Account_Register!$O$32,MOD(Assumptions!U$189-Account_Register!$O$32,12)=0),T34*Assumptions!$C$137*Assumptions!U$200,0)+IF(AND(Assumptions!U$189&gt;Account_Register!$O$33,MOD(Assumptions!U$189-Account_Register!$O$33,12)=0),T35*Assumptions!$C$137*Assumptions!U$200,0)+IF(AND(Assumptions!U$189&gt;Account_Register!$O$34,MOD(Assumptions!U$189-Account_Register!$O$34,12)=0),T36*Assumptions!$C$137*Assumptions!U$200,0)))</f>
        <v>332.813862</v>
      </c>
      <c r="V110" s="65" t="n">
        <f aca="false">IF(V$5="A",Inputs_Actuals!V206,(U11*Account_Register!$M$9*Assumptions!V$200+U20*Account_Register!$M$18*Assumptions!V$200+IF(AND(Assumptions!V$189&gt;Account_Register!$O$29,MOD(Assumptions!V$189-Account_Register!$O$29,12)=0),U31*Assumptions!$C$137*Assumptions!V$200,0)+IF(AND(Assumptions!V$189&gt;Account_Register!$O$30,MOD(Assumptions!V$189-Account_Register!$O$30,12)=0),U32*Assumptions!$C$137*Assumptions!V$200,0)+IF(AND(Assumptions!V$189&gt;Account_Register!$O$31,MOD(Assumptions!V$189-Account_Register!$O$31,12)=0),U33*Assumptions!$C$137*Assumptions!V$200,0)+IF(AND(Assumptions!V$189&gt;Account_Register!$O$32,MOD(Assumptions!V$189-Account_Register!$O$32,12)=0),U34*Assumptions!$C$137*Assumptions!V$200,0)+IF(AND(Assumptions!V$189&gt;Account_Register!$O$33,MOD(Assumptions!V$189-Account_Register!$O$33,12)=0),U35*Assumptions!$C$137*Assumptions!V$200,0)+IF(AND(Assumptions!V$189&gt;Account_Register!$O$34,MOD(Assumptions!V$189-Account_Register!$O$34,12)=0),U36*Assumptions!$C$137*Assumptions!V$200,0)))</f>
        <v>387.567093</v>
      </c>
      <c r="W110" s="65" t="n">
        <f aca="false">IF(W$5="A",Inputs_Actuals!W206,(V26*Account_Register!$M$24*Assumptions!W$200+V30*Account_Register!$M$28*Assumptions!W$200+IF(AND(Assumptions!W$189&gt;Account_Register!$O$29,MOD(Assumptions!W$189-Account_Register!$O$29,12)=0),V31*Assumptions!$C$137*Assumptions!W$200,0)+IF(AND(Assumptions!W$189&gt;Account_Register!$O$30,MOD(Assumptions!W$189-Account_Register!$O$30,12)=0),V32*Assumptions!$C$137*Assumptions!W$200,0)+IF(AND(Assumptions!W$189&gt;Account_Register!$O$31,MOD(Assumptions!W$189-Account_Register!$O$31,12)=0),V33*Assumptions!$C$137*Assumptions!W$200,0)+IF(AND(Assumptions!W$189&gt;Account_Register!$O$32,MOD(Assumptions!W$189-Account_Register!$O$32,12)=0),V34*Assumptions!$C$137*Assumptions!W$200,0)+IF(AND(Assumptions!W$189&gt;Account_Register!$O$33,MOD(Assumptions!W$189-Account_Register!$O$33,12)=0),V35*Assumptions!$C$137*Assumptions!W$200,0)+IF(AND(Assumptions!W$189&gt;Account_Register!$O$34,MOD(Assumptions!W$189-Account_Register!$O$34,12)=0),V36*Assumptions!$C$137*Assumptions!W$200,0)))</f>
        <v>312.618492</v>
      </c>
      <c r="X110" s="65" t="n">
        <f aca="false">IF(X$5="A",Inputs_Actuals!X206,(IF(AND(Assumptions!X$189&gt;Account_Register!$O$29,MOD(Assumptions!X$189-Account_Register!$O$29,12)=0),W31*Assumptions!$C$137*Assumptions!X$200,0)+IF(AND(Assumptions!X$189&gt;Account_Register!$O$30,MOD(Assumptions!X$189-Account_Register!$O$30,12)=0),W32*Assumptions!$C$137*Assumptions!X$200,0)+IF(AND(Assumptions!X$189&gt;Account_Register!$O$31,MOD(Assumptions!X$189-Account_Register!$O$31,12)=0),W33*Assumptions!$C$137*Assumptions!X$200,0)+IF(AND(Assumptions!X$189&gt;Account_Register!$O$32,MOD(Assumptions!X$189-Account_Register!$O$32,12)=0),W34*Assumptions!$C$137*Assumptions!X$200,0)+IF(AND(Assumptions!X$189&gt;Account_Register!$O$33,MOD(Assumptions!X$189-Account_Register!$O$33,12)=0),W35*Assumptions!$C$137*Assumptions!X$200,0)+IF(AND(Assumptions!X$189&gt;Account_Register!$O$34,MOD(Assumptions!X$189-Account_Register!$O$34,12)=0),W36*Assumptions!$C$137*Assumptions!X$200,0)))</f>
        <v>0</v>
      </c>
      <c r="Y110" s="65" t="n">
        <f aca="false">IF(Y$5="A",Inputs_Actuals!Y206,(X15*Account_Register!$M$13*Assumptions!Y$200+X21*Account_Register!$M$19*Assumptions!Y$200+X27*Account_Register!$M$25*Assumptions!Y$200+IF(AND(Assumptions!Y$189&gt;Account_Register!$O$29,MOD(Assumptions!Y$189-Account_Register!$O$29,12)=0),X31*Assumptions!$C$137*Assumptions!Y$200,0)+IF(AND(Assumptions!Y$189&gt;Account_Register!$O$30,MOD(Assumptions!Y$189-Account_Register!$O$30,12)=0),X32*Assumptions!$C$137*Assumptions!Y$200,0)+IF(AND(Assumptions!Y$189&gt;Account_Register!$O$31,MOD(Assumptions!Y$189-Account_Register!$O$31,12)=0),X33*Assumptions!$C$137*Assumptions!Y$200,0)+IF(AND(Assumptions!Y$189&gt;Account_Register!$O$32,MOD(Assumptions!Y$189-Account_Register!$O$32,12)=0),X34*Assumptions!$C$137*Assumptions!Y$200,0)+IF(AND(Assumptions!Y$189&gt;Account_Register!$O$33,MOD(Assumptions!Y$189-Account_Register!$O$33,12)=0),X35*Assumptions!$C$137*Assumptions!Y$200,0)+IF(AND(Assumptions!Y$189&gt;Account_Register!$O$34,MOD(Assumptions!Y$189-Account_Register!$O$34,12)=0),X36*Assumptions!$C$137*Assumptions!Y$200,0)))</f>
        <v>560.590620784368</v>
      </c>
      <c r="Z110" s="65" t="n">
        <f aca="false">IF(Z$5="A",Inputs_Actuals!Z206,(Y12*Account_Register!$M$10*Assumptions!Z$200+IF(AND(Assumptions!Z$189&gt;Account_Register!$O$29,MOD(Assumptions!Z$189-Account_Register!$O$29,12)=0),Y31*Assumptions!$C$137*Assumptions!Z$200,0)+IF(AND(Assumptions!Z$189&gt;Account_Register!$O$30,MOD(Assumptions!Z$189-Account_Register!$O$30,12)=0),Y32*Assumptions!$C$137*Assumptions!Z$200,0)+IF(AND(Assumptions!Z$189&gt;Account_Register!$O$31,MOD(Assumptions!Z$189-Account_Register!$O$31,12)=0),Y33*Assumptions!$C$137*Assumptions!Z$200,0)+IF(AND(Assumptions!Z$189&gt;Account_Register!$O$32,MOD(Assumptions!Z$189-Account_Register!$O$32,12)=0),Y34*Assumptions!$C$137*Assumptions!Z$200,0)+IF(AND(Assumptions!Z$189&gt;Account_Register!$O$33,MOD(Assumptions!Z$189-Account_Register!$O$33,12)=0),Y35*Assumptions!$C$137*Assumptions!Z$200,0)+IF(AND(Assumptions!Z$189&gt;Account_Register!$O$34,MOD(Assumptions!Z$189-Account_Register!$O$34,12)=0),Y36*Assumptions!$C$137*Assumptions!Z$200,0)))</f>
        <v>228.81900505932</v>
      </c>
      <c r="AA110" s="65" t="n">
        <f aca="false">IF(AA$5="A",Inputs_Actuals!AA206,(Z16*Account_Register!$M$14*Assumptions!AA$200+Z22*Account_Register!$M$20*Assumptions!AA$200+Z28*Account_Register!$M$26*Assumptions!AA$200+IF(AND(Assumptions!AA$189&gt;Account_Register!$O$29,MOD(Assumptions!AA$189-Account_Register!$O$29,12)=0),Z31*Assumptions!$C$137*Assumptions!AA$200,0)+IF(AND(Assumptions!AA$189&gt;Account_Register!$O$30,MOD(Assumptions!AA$189-Account_Register!$O$30,12)=0),Z32*Assumptions!$C$137*Assumptions!AA$200,0)+IF(AND(Assumptions!AA$189&gt;Account_Register!$O$31,MOD(Assumptions!AA$189-Account_Register!$O$31,12)=0),Z33*Assumptions!$C$137*Assumptions!AA$200,0)+IF(AND(Assumptions!AA$189&gt;Account_Register!$O$32,MOD(Assumptions!AA$189-Account_Register!$O$32,12)=0),Z34*Assumptions!$C$137*Assumptions!AA$200,0)+IF(AND(Assumptions!AA$189&gt;Account_Register!$O$33,MOD(Assumptions!AA$189-Account_Register!$O$33,12)=0),Z35*Assumptions!$C$137*Assumptions!AA$200,0)+IF(AND(Assumptions!AA$189&gt;Account_Register!$O$34,MOD(Assumptions!AA$189-Account_Register!$O$34,12)=0),Z36*Assumptions!$C$137*Assumptions!AA$200,0)))</f>
        <v>607.6368702726</v>
      </c>
      <c r="AB110" s="65" t="n">
        <f aca="false">IF(AB$5="A",Inputs_Actuals!AB206,(IF(AND(Assumptions!AB$189&gt;Account_Register!$O$29,MOD(Assumptions!AB$189-Account_Register!$O$29,12)=0),AA31*Assumptions!$C$137*Assumptions!AB$200,0)+IF(AND(Assumptions!AB$189&gt;Account_Register!$O$30,MOD(Assumptions!AB$189-Account_Register!$O$30,12)=0),AA32*Assumptions!$C$137*Assumptions!AB$200,0)+IF(AND(Assumptions!AB$189&gt;Account_Register!$O$31,MOD(Assumptions!AB$189-Account_Register!$O$31,12)=0),AA33*Assumptions!$C$137*Assumptions!AB$200,0)+IF(AND(Assumptions!AB$189&gt;Account_Register!$O$32,MOD(Assumptions!AB$189-Account_Register!$O$32,12)=0),AA34*Assumptions!$C$137*Assumptions!AB$200,0)+IF(AND(Assumptions!AB$189&gt;Account_Register!$O$33,MOD(Assumptions!AB$189-Account_Register!$O$33,12)=0),AA35*Assumptions!$C$137*Assumptions!AB$200,0)+IF(AND(Assumptions!AB$189&gt;Account_Register!$O$34,MOD(Assumptions!AB$189-Account_Register!$O$34,12)=0),AA36*Assumptions!$C$137*Assumptions!AB$200,0)))</f>
        <v>128.25</v>
      </c>
    </row>
    <row r="111" customFormat="false" ht="15" hidden="false" customHeight="false" outlineLevel="0" collapsed="false">
      <c r="A111" s="59" t="s">
        <v>932</v>
      </c>
      <c r="B111" s="60"/>
      <c r="C111" s="61" t="n">
        <f aca="false">P111</f>
        <v>161272.84863704</v>
      </c>
      <c r="D111" s="61" t="n">
        <f aca="false">AB111</f>
        <v>197822.616141923</v>
      </c>
      <c r="E111" s="61" t="n">
        <f aca="false">E105+E106+E107+E108+E109+E110</f>
        <v>136166.76</v>
      </c>
      <c r="F111" s="61" t="n">
        <f aca="false">F105+F106+F107+F108+F109+F110</f>
        <v>129278.44</v>
      </c>
      <c r="G111" s="61" t="n">
        <f aca="false">G105+G106+G107+G108+G109+G110</f>
        <v>131583.25</v>
      </c>
      <c r="H111" s="61" t="n">
        <f aca="false">H105+H106+H107+H108+H109+H110</f>
        <v>143348.3</v>
      </c>
      <c r="I111" s="61" t="n">
        <f aca="false">I105+I106+I107+I108+I109+I110</f>
        <v>145028.7</v>
      </c>
      <c r="J111" s="61" t="n">
        <f aca="false">J105+J106+J107+J108+J109+J110</f>
        <v>146087.19</v>
      </c>
      <c r="K111" s="61" t="n">
        <f aca="false">K105+K106+K107+K108+K109+K110</f>
        <v>152311.25</v>
      </c>
      <c r="L111" s="61" t="n">
        <f aca="false">L105+L106+L107+L108+L109+L110</f>
        <v>152311.25</v>
      </c>
      <c r="M111" s="61" t="n">
        <f aca="false">M105+M106+M107+M108+M109+M110</f>
        <v>152476.30100764</v>
      </c>
      <c r="N111" s="61" t="n">
        <f aca="false">N105+N106+N107+N108+N109+N110</f>
        <v>152445.14903844</v>
      </c>
      <c r="O111" s="61" t="n">
        <f aca="false">O105+O106+O107+O108+O109+O110</f>
        <v>156772.84863704</v>
      </c>
      <c r="P111" s="61" t="n">
        <f aca="false">P105+P106+P107+P108+P109+P110</f>
        <v>161272.84863704</v>
      </c>
      <c r="Q111" s="61" t="n">
        <f aca="false">Q105+Q106+Q107+Q108+Q109+Q110</f>
        <v>161864.01254254</v>
      </c>
      <c r="R111" s="61" t="n">
        <f aca="false">R105+R106+R107+R108+R109+R110</f>
        <v>164564.01254254</v>
      </c>
      <c r="S111" s="61" t="n">
        <f aca="false">S105+S106+S107+S108+S109+S110</f>
        <v>167990.73787769</v>
      </c>
      <c r="T111" s="61" t="n">
        <f aca="false">T105+T106+T107+T108+T109+T110</f>
        <v>171343.27573849</v>
      </c>
      <c r="U111" s="61" t="n">
        <f aca="false">U105+U106+U107+U108+U109+U110</f>
        <v>171494.07241825</v>
      </c>
      <c r="V111" s="61" t="n">
        <f aca="false">V105+V106+V107+V108+V109+V110</f>
        <v>175237.43135429</v>
      </c>
      <c r="W111" s="61" t="n">
        <f aca="false">W105+W106+W107+W108+W109+W110</f>
        <v>179050.93564197</v>
      </c>
      <c r="X111" s="61" t="n">
        <f aca="false">X105+X106+X107+X108+X109+X110</f>
        <v>182725.93564197</v>
      </c>
      <c r="Y111" s="61" t="n">
        <f aca="false">Y105+Y106+Y107+Y108+Y109+Y110</f>
        <v>186570.980931254</v>
      </c>
      <c r="Z111" s="61" t="n">
        <f aca="false">Z105+Z106+Z107+Z108+Z109+Z110</f>
        <v>190214.946841106</v>
      </c>
      <c r="AA111" s="61" t="n">
        <f aca="false">AA105+AA106+AA107+AA108+AA109+AA110</f>
        <v>194024.203641923</v>
      </c>
      <c r="AB111" s="61" t="n">
        <f aca="false">AB105+AB106+AB107+AB108+AB109+AB110</f>
        <v>197822.616141923</v>
      </c>
    </row>
    <row r="112" customFormat="false" ht="15" hidden="false" customHeight="false" outlineLevel="0" collapsed="false">
      <c r="A112" s="28" t="s">
        <v>1044</v>
      </c>
      <c r="B112" s="63"/>
      <c r="C112" s="64" t="n">
        <f aca="false">SUM(E112:P112)</f>
        <v>0</v>
      </c>
      <c r="D112" s="64" t="n">
        <f aca="false">SUM(Q112:AB112)</f>
        <v>0</v>
      </c>
      <c r="E112" s="74" t="n">
        <f aca="false">ROUND(E111-E39,2)</f>
        <v>0</v>
      </c>
      <c r="F112" s="74" t="n">
        <f aca="false">ROUND(F111-F39,2)</f>
        <v>0</v>
      </c>
      <c r="G112" s="74" t="n">
        <f aca="false">ROUND(G111-G39,2)</f>
        <v>0</v>
      </c>
      <c r="H112" s="74" t="n">
        <f aca="false">ROUND(H111-H39,2)</f>
        <v>0</v>
      </c>
      <c r="I112" s="74" t="n">
        <f aca="false">ROUND(I111-I39,2)</f>
        <v>0</v>
      </c>
      <c r="J112" s="74" t="n">
        <f aca="false">ROUND(J111-J39,2)</f>
        <v>0</v>
      </c>
      <c r="K112" s="74" t="n">
        <f aca="false">ROUND(K111-K39,2)</f>
        <v>0</v>
      </c>
      <c r="L112" s="74" t="n">
        <f aca="false">ROUND(L111-L39,2)</f>
        <v>0</v>
      </c>
      <c r="M112" s="74" t="n">
        <f aca="false">ROUND(M111-M39,2)</f>
        <v>0</v>
      </c>
      <c r="N112" s="74" t="n">
        <f aca="false">ROUND(N111-N39,2)</f>
        <v>0</v>
      </c>
      <c r="O112" s="74" t="n">
        <f aca="false">ROUND(O111-O39,2)</f>
        <v>0</v>
      </c>
      <c r="P112" s="74" t="n">
        <f aca="false">ROUND(P111-P39,2)</f>
        <v>0</v>
      </c>
      <c r="Q112" s="74" t="n">
        <f aca="false">ROUND(Q111-Q39,2)</f>
        <v>0</v>
      </c>
      <c r="R112" s="74" t="n">
        <f aca="false">ROUND(R111-R39,2)</f>
        <v>0</v>
      </c>
      <c r="S112" s="74" t="n">
        <f aca="false">ROUND(S111-S39,2)</f>
        <v>0</v>
      </c>
      <c r="T112" s="74" t="n">
        <f aca="false">ROUND(T111-T39,2)</f>
        <v>0</v>
      </c>
      <c r="U112" s="74" t="n">
        <f aca="false">ROUND(U111-U39,2)</f>
        <v>0</v>
      </c>
      <c r="V112" s="74" t="n">
        <f aca="false">ROUND(V111-V39,2)</f>
        <v>0</v>
      </c>
      <c r="W112" s="74" t="n">
        <f aca="false">ROUND(W111-W39,2)</f>
        <v>0</v>
      </c>
      <c r="X112" s="74" t="n">
        <f aca="false">ROUND(X111-X39,2)</f>
        <v>0</v>
      </c>
      <c r="Y112" s="74" t="n">
        <f aca="false">ROUND(Y111-Y39,2)</f>
        <v>0</v>
      </c>
      <c r="Z112" s="74" t="n">
        <f aca="false">ROUND(Z111-Z39,2)</f>
        <v>0</v>
      </c>
      <c r="AA112" s="74" t="n">
        <f aca="false">ROUND(AA111-AA39,2)</f>
        <v>0</v>
      </c>
      <c r="AB112" s="74" t="n">
        <f aca="false">ROUND(AB111-AB39,2)</f>
        <v>0</v>
      </c>
    </row>
    <row r="113" customFormat="false" ht="15" hidden="false" customHeight="false" outlineLevel="0" collapsed="false">
      <c r="A113" s="28" t="s">
        <v>1045</v>
      </c>
      <c r="B113" s="63"/>
      <c r="C113" s="68" t="n">
        <f aca="false">SUM(E113:P113)</f>
        <v>3.1</v>
      </c>
      <c r="D113" s="68" t="n">
        <f aca="false">SUM(Q113:AB113)</f>
        <v>5.35</v>
      </c>
      <c r="E113" s="69" t="n">
        <f aca="false">IF(E$5="A",Inputs_Actuals!E209,IF(Assumptions!E$189=Account_Register!$O$29,Account_Register!$M$29,0)+IF(Assumptions!E$189=Account_Register!$O$30,Account_Register!$M$30,0)+IF(Assumptions!E$189=Account_Register!$O$31,Account_Register!$M$31,0)+IF(Assumptions!E$189=Account_Register!$O$32,Account_Register!$M$32,0)+IF(Assumptions!E$189=Account_Register!$O$33,Account_Register!$M$33,0)+IF(Assumptions!E$189=Account_Register!$O$34,Account_Register!$M$34,0)+IF(AND(Assumptions!E$190="F",Assumptions!E$188&gt;=Assumptions!$C$140),Assumptions!$F$174,0))</f>
        <v>0</v>
      </c>
      <c r="F113" s="69" t="n">
        <f aca="false">IF(F$5="A",Inputs_Actuals!F209,IF(Assumptions!F$189=Account_Register!$O$29,Account_Register!$M$29,0)+IF(Assumptions!F$189=Account_Register!$O$30,Account_Register!$M$30,0)+IF(Assumptions!F$189=Account_Register!$O$31,Account_Register!$M$31,0)+IF(Assumptions!F$189=Account_Register!$O$32,Account_Register!$M$32,0)+IF(Assumptions!F$189=Account_Register!$O$33,Account_Register!$M$33,0)+IF(Assumptions!F$189=Account_Register!$O$34,Account_Register!$M$34,0)+IF(AND(Assumptions!F$190="F",Assumptions!F$188&gt;=Assumptions!$C$140),Assumptions!$F$174,0))</f>
        <v>0</v>
      </c>
      <c r="G113" s="69" t="n">
        <f aca="false">IF(G$5="A",Inputs_Actuals!G209,IF(Assumptions!G$189=Account_Register!$O$29,Account_Register!$M$29,0)+IF(Assumptions!G$189=Account_Register!$O$30,Account_Register!$M$30,0)+IF(Assumptions!G$189=Account_Register!$O$31,Account_Register!$M$31,0)+IF(Assumptions!G$189=Account_Register!$O$32,Account_Register!$M$32,0)+IF(Assumptions!G$189=Account_Register!$O$33,Account_Register!$M$33,0)+IF(Assumptions!G$189=Account_Register!$O$34,Account_Register!$M$34,0)+IF(AND(Assumptions!G$190="F",Assumptions!G$188&gt;=Assumptions!$C$140),Assumptions!$F$174,0))</f>
        <v>0</v>
      </c>
      <c r="H113" s="69" t="n">
        <f aca="false">IF(H$5="A",Inputs_Actuals!H209,IF(Assumptions!H$189=Account_Register!$O$29,Account_Register!$M$29,0)+IF(Assumptions!H$189=Account_Register!$O$30,Account_Register!$M$30,0)+IF(Assumptions!H$189=Account_Register!$O$31,Account_Register!$M$31,0)+IF(Assumptions!H$189=Account_Register!$O$32,Account_Register!$M$32,0)+IF(Assumptions!H$189=Account_Register!$O$33,Account_Register!$M$33,0)+IF(Assumptions!H$189=Account_Register!$O$34,Account_Register!$M$34,0)+IF(AND(Assumptions!H$190="F",Assumptions!H$188&gt;=Assumptions!$C$140),Assumptions!$F$174,0))</f>
        <v>1</v>
      </c>
      <c r="I113" s="69" t="n">
        <f aca="false">IF(I$5="A",Inputs_Actuals!I209,IF(Assumptions!I$189=Account_Register!$O$29,Account_Register!$M$29,0)+IF(Assumptions!I$189=Account_Register!$O$30,Account_Register!$M$30,0)+IF(Assumptions!I$189=Account_Register!$O$31,Account_Register!$M$31,0)+IF(Assumptions!I$189=Account_Register!$O$32,Account_Register!$M$32,0)+IF(Assumptions!I$189=Account_Register!$O$33,Account_Register!$M$33,0)+IF(Assumptions!I$189=Account_Register!$O$34,Account_Register!$M$34,0)+IF(AND(Assumptions!I$190="F",Assumptions!I$188&gt;=Assumptions!$C$140),Assumptions!$F$174,0))</f>
        <v>0</v>
      </c>
      <c r="J113" s="69" t="n">
        <f aca="false">IF(J$5="A",Inputs_Actuals!J209,IF(Assumptions!J$189=Account_Register!$O$29,Account_Register!$M$29,0)+IF(Assumptions!J$189=Account_Register!$O$30,Account_Register!$M$30,0)+IF(Assumptions!J$189=Account_Register!$O$31,Account_Register!$M$31,0)+IF(Assumptions!J$189=Account_Register!$O$32,Account_Register!$M$32,0)+IF(Assumptions!J$189=Account_Register!$O$33,Account_Register!$M$33,0)+IF(Assumptions!J$189=Account_Register!$O$34,Account_Register!$M$34,0)+IF(AND(Assumptions!J$190="F",Assumptions!J$188&gt;=Assumptions!$C$140),Assumptions!$F$174,0))</f>
        <v>0</v>
      </c>
      <c r="K113" s="69" t="n">
        <f aca="false">IF(K$5="A",Inputs_Actuals!K209,IF(Assumptions!K$189=Account_Register!$O$29,Account_Register!$M$29,0)+IF(Assumptions!K$189=Account_Register!$O$30,Account_Register!$M$30,0)+IF(Assumptions!K$189=Account_Register!$O$31,Account_Register!$M$31,0)+IF(Assumptions!K$189=Account_Register!$O$32,Account_Register!$M$32,0)+IF(Assumptions!K$189=Account_Register!$O$33,Account_Register!$M$33,0)+IF(Assumptions!K$189=Account_Register!$O$34,Account_Register!$M$34,0)+IF(AND(Assumptions!K$190="F",Assumptions!K$188&gt;=Assumptions!$C$140),Assumptions!$F$174,0))</f>
        <v>1</v>
      </c>
      <c r="L113" s="69" t="n">
        <f aca="false">IF(L$5="A",Inputs_Actuals!L209,IF(Assumptions!L$189=Account_Register!$O$29,Account_Register!$M$29,0)+IF(Assumptions!L$189=Account_Register!$O$30,Account_Register!$M$30,0)+IF(Assumptions!L$189=Account_Register!$O$31,Account_Register!$M$31,0)+IF(Assumptions!L$189=Account_Register!$O$32,Account_Register!$M$32,0)+IF(Assumptions!L$189=Account_Register!$O$33,Account_Register!$M$33,0)+IF(Assumptions!L$189=Account_Register!$O$34,Account_Register!$M$34,0)+IF(AND(Assumptions!L$190="F",Assumptions!L$188&gt;=Assumptions!$C$140),Assumptions!$F$174,0))</f>
        <v>0</v>
      </c>
      <c r="M113" s="69" t="n">
        <f aca="false">IF(M$5="A",Inputs_Actuals!M209,IF(Assumptions!M$189=Account_Register!$O$29,Account_Register!$M$29,0)+IF(Assumptions!M$189=Account_Register!$O$30,Account_Register!$M$30,0)+IF(Assumptions!M$189=Account_Register!$O$31,Account_Register!$M$31,0)+IF(Assumptions!M$189=Account_Register!$O$32,Account_Register!$M$32,0)+IF(Assumptions!M$189=Account_Register!$O$33,Account_Register!$M$33,0)+IF(Assumptions!M$189=Account_Register!$O$34,Account_Register!$M$34,0)+IF(AND(Assumptions!M$190="F",Assumptions!M$188&gt;=Assumptions!$C$140),Assumptions!$F$174,0))</f>
        <v>0</v>
      </c>
      <c r="N113" s="69" t="n">
        <f aca="false">IF(N$5="A",Inputs_Actuals!N209,IF(Assumptions!N$189=Account_Register!$O$29,Account_Register!$M$29,0)+IF(Assumptions!N$189=Account_Register!$O$30,Account_Register!$M$30,0)+IF(Assumptions!N$189=Account_Register!$O$31,Account_Register!$M$31,0)+IF(Assumptions!N$189=Account_Register!$O$32,Account_Register!$M$32,0)+IF(Assumptions!N$189=Account_Register!$O$33,Account_Register!$M$33,0)+IF(Assumptions!N$189=Account_Register!$O$34,Account_Register!$M$34,0)+IF(AND(Assumptions!N$190="F",Assumptions!N$188&gt;=Assumptions!$C$140),Assumptions!$F$174,0))</f>
        <v>0</v>
      </c>
      <c r="O113" s="69" t="n">
        <f aca="false">IF(O$5="A",Inputs_Actuals!O209,IF(Assumptions!O$189=Account_Register!$O$29,Account_Register!$M$29,0)+IF(Assumptions!O$189=Account_Register!$O$30,Account_Register!$M$30,0)+IF(Assumptions!O$189=Account_Register!$O$31,Account_Register!$M$31,0)+IF(Assumptions!O$189=Account_Register!$O$32,Account_Register!$M$32,0)+IF(Assumptions!O$189=Account_Register!$O$33,Account_Register!$M$33,0)+IF(Assumptions!O$189=Account_Register!$O$34,Account_Register!$M$34,0)+IF(AND(Assumptions!O$190="F",Assumptions!O$188&gt;=Assumptions!$C$140),Assumptions!$F$174,0))</f>
        <v>0.6</v>
      </c>
      <c r="P113" s="69" t="n">
        <f aca="false">IF(P$5="A",Inputs_Actuals!P209,IF(Assumptions!P$189=Account_Register!$O$29,Account_Register!$M$29,0)+IF(Assumptions!P$189=Account_Register!$O$30,Account_Register!$M$30,0)+IF(Assumptions!P$189=Account_Register!$O$31,Account_Register!$M$31,0)+IF(Assumptions!P$189=Account_Register!$O$32,Account_Register!$M$32,0)+IF(Assumptions!P$189=Account_Register!$O$33,Account_Register!$M$33,0)+IF(Assumptions!P$189=Account_Register!$O$34,Account_Register!$M$34,0)+IF(AND(Assumptions!P$190="F",Assumptions!P$188&gt;=Assumptions!$C$140),Assumptions!$F$174,0))</f>
        <v>0.5</v>
      </c>
      <c r="Q113" s="69" t="n">
        <f aca="false">IF(Q$5="A",Inputs_Actuals!Q209,IF(Assumptions!Q$189=Account_Register!$O$29,Account_Register!$M$29,0)+IF(Assumptions!Q$189=Account_Register!$O$30,Account_Register!$M$30,0)+IF(Assumptions!Q$189=Account_Register!$O$31,Account_Register!$M$31,0)+IF(Assumptions!Q$189=Account_Register!$O$32,Account_Register!$M$32,0)+IF(Assumptions!Q$189=Account_Register!$O$33,Account_Register!$M$33,0)+IF(Assumptions!Q$189=Account_Register!$O$34,Account_Register!$M$34,0)+IF(AND(Assumptions!Q$190="F",Assumptions!Q$188&gt;=Assumptions!$C$140),Assumptions!$F$174,0))</f>
        <v>0.45</v>
      </c>
      <c r="R113" s="69" t="n">
        <f aca="false">IF(R$5="A",Inputs_Actuals!R209,IF(Assumptions!R$189=Account_Register!$O$29,Account_Register!$M$29,0)+IF(Assumptions!R$189=Account_Register!$O$30,Account_Register!$M$30,0)+IF(Assumptions!R$189=Account_Register!$O$31,Account_Register!$M$31,0)+IF(Assumptions!R$189=Account_Register!$O$32,Account_Register!$M$32,0)+IF(Assumptions!R$189=Account_Register!$O$33,Account_Register!$M$33,0)+IF(Assumptions!R$189=Account_Register!$O$34,Account_Register!$M$34,0)+IF(AND(Assumptions!R$190="F",Assumptions!R$188&gt;=Assumptions!$C$140),Assumptions!$F$174,0))</f>
        <v>0.5</v>
      </c>
      <c r="S113" s="69" t="n">
        <f aca="false">IF(S$5="A",Inputs_Actuals!S209,IF(Assumptions!S$189=Account_Register!$O$29,Account_Register!$M$29,0)+IF(Assumptions!S$189=Account_Register!$O$30,Account_Register!$M$30,0)+IF(Assumptions!S$189=Account_Register!$O$31,Account_Register!$M$31,0)+IF(Assumptions!S$189=Account_Register!$O$32,Account_Register!$M$32,0)+IF(Assumptions!S$189=Account_Register!$O$33,Account_Register!$M$33,0)+IF(Assumptions!S$189=Account_Register!$O$34,Account_Register!$M$34,0)+IF(AND(Assumptions!S$190="F",Assumptions!S$188&gt;=Assumptions!$C$140),Assumptions!$F$174,0))</f>
        <v>0.4</v>
      </c>
      <c r="T113" s="69" t="n">
        <f aca="false">IF(T$5="A",Inputs_Actuals!T209,IF(Assumptions!T$189=Account_Register!$O$29,Account_Register!$M$29,0)+IF(Assumptions!T$189=Account_Register!$O$30,Account_Register!$M$30,0)+IF(Assumptions!T$189=Account_Register!$O$31,Account_Register!$M$31,0)+IF(Assumptions!T$189=Account_Register!$O$32,Account_Register!$M$32,0)+IF(Assumptions!T$189=Account_Register!$O$33,Account_Register!$M$33,0)+IF(Assumptions!T$189=Account_Register!$O$34,Account_Register!$M$34,0)+IF(AND(Assumptions!T$190="F",Assumptions!T$188&gt;=Assumptions!$C$140),Assumptions!$F$174,0))</f>
        <v>0.5</v>
      </c>
      <c r="U113" s="69" t="n">
        <f aca="false">IF(U$5="A",Inputs_Actuals!U209,IF(Assumptions!U$189=Account_Register!$O$29,Account_Register!$M$29,0)+IF(Assumptions!U$189=Account_Register!$O$30,Account_Register!$M$30,0)+IF(Assumptions!U$189=Account_Register!$O$31,Account_Register!$M$31,0)+IF(Assumptions!U$189=Account_Register!$O$32,Account_Register!$M$32,0)+IF(Assumptions!U$189=Account_Register!$O$33,Account_Register!$M$33,0)+IF(Assumptions!U$189=Account_Register!$O$34,Account_Register!$M$34,0)+IF(AND(Assumptions!U$190="F",Assumptions!U$188&gt;=Assumptions!$C$140),Assumptions!$F$174,0))</f>
        <v>0</v>
      </c>
      <c r="V113" s="69" t="n">
        <f aca="false">IF(V$5="A",Inputs_Actuals!V209,IF(Assumptions!V$189=Account_Register!$O$29,Account_Register!$M$29,0)+IF(Assumptions!V$189=Account_Register!$O$30,Account_Register!$M$30,0)+IF(Assumptions!V$189=Account_Register!$O$31,Account_Register!$M$31,0)+IF(Assumptions!V$189=Account_Register!$O$32,Account_Register!$M$32,0)+IF(Assumptions!V$189=Account_Register!$O$33,Account_Register!$M$33,0)+IF(Assumptions!V$189=Account_Register!$O$34,Account_Register!$M$34,0)+IF(AND(Assumptions!V$190="F",Assumptions!V$188&gt;=Assumptions!$C$140),Assumptions!$F$174,0))</f>
        <v>0.5</v>
      </c>
      <c r="W113" s="69" t="n">
        <f aca="false">IF(W$5="A",Inputs_Actuals!W209,IF(Assumptions!W$189=Account_Register!$O$29,Account_Register!$M$29,0)+IF(Assumptions!W$189=Account_Register!$O$30,Account_Register!$M$30,0)+IF(Assumptions!W$189=Account_Register!$O$31,Account_Register!$M$31,0)+IF(Assumptions!W$189=Account_Register!$O$32,Account_Register!$M$32,0)+IF(Assumptions!W$189=Account_Register!$O$33,Account_Register!$M$33,0)+IF(Assumptions!W$189=Account_Register!$O$34,Account_Register!$M$34,0)+IF(AND(Assumptions!W$190="F",Assumptions!W$188&gt;=Assumptions!$C$140),Assumptions!$F$174,0))</f>
        <v>0.5</v>
      </c>
      <c r="X113" s="69" t="n">
        <f aca="false">IF(X$5="A",Inputs_Actuals!X209,IF(Assumptions!X$189=Account_Register!$O$29,Account_Register!$M$29,0)+IF(Assumptions!X$189=Account_Register!$O$30,Account_Register!$M$30,0)+IF(Assumptions!X$189=Account_Register!$O$31,Account_Register!$M$31,0)+IF(Assumptions!X$189=Account_Register!$O$32,Account_Register!$M$32,0)+IF(Assumptions!X$189=Account_Register!$O$33,Account_Register!$M$33,0)+IF(Assumptions!X$189=Account_Register!$O$34,Account_Register!$M$34,0)+IF(AND(Assumptions!X$190="F",Assumptions!X$188&gt;=Assumptions!$C$140),Assumptions!$F$174,0))</f>
        <v>0.5</v>
      </c>
      <c r="Y113" s="69" t="n">
        <f aca="false">IF(Y$5="A",Inputs_Actuals!Y209,IF(Assumptions!Y$189=Account_Register!$O$29,Account_Register!$M$29,0)+IF(Assumptions!Y$189=Account_Register!$O$30,Account_Register!$M$30,0)+IF(Assumptions!Y$189=Account_Register!$O$31,Account_Register!$M$31,0)+IF(Assumptions!Y$189=Account_Register!$O$32,Account_Register!$M$32,0)+IF(Assumptions!Y$189=Account_Register!$O$33,Account_Register!$M$33,0)+IF(Assumptions!Y$189=Account_Register!$O$34,Account_Register!$M$34,0)+IF(AND(Assumptions!Y$190="F",Assumptions!Y$188&gt;=Assumptions!$C$140),Assumptions!$F$174,0))</f>
        <v>0.5</v>
      </c>
      <c r="Z113" s="69" t="n">
        <f aca="false">IF(Z$5="A",Inputs_Actuals!Z209,IF(Assumptions!Z$189=Account_Register!$O$29,Account_Register!$M$29,0)+IF(Assumptions!Z$189=Account_Register!$O$30,Account_Register!$M$30,0)+IF(Assumptions!Z$189=Account_Register!$O$31,Account_Register!$M$31,0)+IF(Assumptions!Z$189=Account_Register!$O$32,Account_Register!$M$32,0)+IF(Assumptions!Z$189=Account_Register!$O$33,Account_Register!$M$33,0)+IF(Assumptions!Z$189=Account_Register!$O$34,Account_Register!$M$34,0)+IF(AND(Assumptions!Z$190="F",Assumptions!Z$188&gt;=Assumptions!$C$140),Assumptions!$F$174,0))</f>
        <v>0.5</v>
      </c>
      <c r="AA113" s="69" t="n">
        <f aca="false">IF(AA$5="A",Inputs_Actuals!AA209,IF(Assumptions!AA$189=Account_Register!$O$29,Account_Register!$M$29,0)+IF(Assumptions!AA$189=Account_Register!$O$30,Account_Register!$M$30,0)+IF(Assumptions!AA$189=Account_Register!$O$31,Account_Register!$M$31,0)+IF(Assumptions!AA$189=Account_Register!$O$32,Account_Register!$M$32,0)+IF(Assumptions!AA$189=Account_Register!$O$33,Account_Register!$M$33,0)+IF(Assumptions!AA$189=Account_Register!$O$34,Account_Register!$M$34,0)+IF(AND(Assumptions!AA$190="F",Assumptions!AA$188&gt;=Assumptions!$C$140),Assumptions!$F$174,0))</f>
        <v>0.5</v>
      </c>
      <c r="AB113" s="69" t="n">
        <f aca="false">IF(AB$5="A",Inputs_Actuals!AB209,IF(Assumptions!AB$189=Account_Register!$O$29,Account_Register!$M$29,0)+IF(Assumptions!AB$189=Account_Register!$O$30,Account_Register!$M$30,0)+IF(Assumptions!AB$189=Account_Register!$O$31,Account_Register!$M$31,0)+IF(Assumptions!AB$189=Account_Register!$O$32,Account_Register!$M$32,0)+IF(Assumptions!AB$189=Account_Register!$O$33,Account_Register!$M$33,0)+IF(Assumptions!AB$189=Account_Register!$O$34,Account_Register!$M$34,0)+IF(AND(Assumptions!AB$190="F",Assumptions!AB$188&gt;=Assumptions!$C$140),Assumptions!$F$174,0))</f>
        <v>0.5</v>
      </c>
    </row>
    <row r="114" customFormat="false" ht="15" hidden="false" customHeight="false" outlineLevel="0" collapsed="false">
      <c r="A114" s="28" t="s">
        <v>1046</v>
      </c>
      <c r="B114" s="63"/>
      <c r="C114" s="68" t="n">
        <f aca="false">SUM(E114:P114)</f>
        <v>-1.46</v>
      </c>
      <c r="D114" s="68" t="n">
        <f aca="false">SUM(Q114:AB114)</f>
        <v>-1.4926</v>
      </c>
      <c r="E114" s="69" t="n">
        <f aca="false">-Inputs_Actuals!E210</f>
        <v>-0</v>
      </c>
      <c r="F114" s="69" t="n">
        <f aca="false">IF(F$5="A",-Inputs_Actuals!F210,-(E45*(1-Account_Register!$M$11)+IF(AND(Assumptions!F$189&gt;Account_Register!$O$29,MOD(Assumptions!F$189-Account_Register!$O$29,12)=0),E63*(1-Assumptions!$C$137),0)+IF(AND(Assumptions!F$189&gt;Account_Register!$O$30,MOD(Assumptions!F$189-Account_Register!$O$30,12)=0),E64*(1-Assumptions!$C$137),0)+IF(AND(Assumptions!F$189&gt;Account_Register!$O$31,MOD(Assumptions!F$189-Account_Register!$O$31,12)=0),E65*(1-Assumptions!$C$137),0)+IF(AND(Assumptions!F$189&gt;Account_Register!$O$32,MOD(Assumptions!F$189-Account_Register!$O$32,12)=0),E66*(1-Assumptions!$C$137),0)+IF(AND(Assumptions!F$189&gt;Account_Register!$O$33,MOD(Assumptions!F$189-Account_Register!$O$33,12)=0),E67*(1-Assumptions!$C$137),0)+IF(AND(Assumptions!F$189&gt;Account_Register!$O$34,MOD(Assumptions!F$189-Account_Register!$O$34,12)=0),E68*(1-Assumptions!$C$137),0)))</f>
        <v>-1</v>
      </c>
      <c r="G114" s="69" t="n">
        <f aca="false">IF(G$5="A",-Inputs_Actuals!G210,-(F42*(1-Account_Register!$M$8)+F50*(1-Account_Register!$M$16)+F56*(1-Account_Register!$M$22)+IF(AND(Assumptions!G$189&gt;Account_Register!$O$29,MOD(Assumptions!G$189-Account_Register!$O$29,12)=0),F63*(1-Assumptions!$C$137),0)+IF(AND(Assumptions!G$189&gt;Account_Register!$O$30,MOD(Assumptions!G$189-Account_Register!$O$30,12)=0),F64*(1-Assumptions!$C$137),0)+IF(AND(Assumptions!G$189&gt;Account_Register!$O$31,MOD(Assumptions!G$189-Account_Register!$O$31,12)=0),F65*(1-Assumptions!$C$137),0)+IF(AND(Assumptions!G$189&gt;Account_Register!$O$32,MOD(Assumptions!G$189-Account_Register!$O$32,12)=0),F66*(1-Assumptions!$C$137),0)+IF(AND(Assumptions!G$189&gt;Account_Register!$O$33,MOD(Assumptions!G$189-Account_Register!$O$33,12)=0),F67*(1-Assumptions!$C$137),0)+IF(AND(Assumptions!G$189&gt;Account_Register!$O$34,MOD(Assumptions!G$189-Account_Register!$O$34,12)=0),F68*(1-Assumptions!$C$137),0)))</f>
        <v>-0</v>
      </c>
      <c r="H114" s="69" t="n">
        <f aca="false">IF(H$5="A",-Inputs_Actuals!H210,-(G51*(1-Account_Register!$M$17)+IF(AND(Assumptions!H$189&gt;Account_Register!$O$29,MOD(Assumptions!H$189-Account_Register!$O$29,12)=0),G63*(1-Assumptions!$C$137),0)+IF(AND(Assumptions!H$189&gt;Account_Register!$O$30,MOD(Assumptions!H$189-Account_Register!$O$30,12)=0),G64*(1-Assumptions!$C$137),0)+IF(AND(Assumptions!H$189&gt;Account_Register!$O$31,MOD(Assumptions!H$189-Account_Register!$O$31,12)=0),G65*(1-Assumptions!$C$137),0)+IF(AND(Assumptions!H$189&gt;Account_Register!$O$32,MOD(Assumptions!H$189-Account_Register!$O$32,12)=0),G66*(1-Assumptions!$C$137),0)+IF(AND(Assumptions!H$189&gt;Account_Register!$O$33,MOD(Assumptions!H$189-Account_Register!$O$33,12)=0),G67*(1-Assumptions!$C$137),0)+IF(AND(Assumptions!H$189&gt;Account_Register!$O$34,MOD(Assumptions!H$189-Account_Register!$O$34,12)=0),G68*(1-Assumptions!$C$137),0)))</f>
        <v>-0</v>
      </c>
      <c r="I114" s="69" t="n">
        <f aca="false">IF(I$5="A",-Inputs_Actuals!I210,-(H46*(1-Account_Register!$M$12)+H57*(1-Account_Register!$M$23)+IF(AND(Assumptions!I$189&gt;Account_Register!$O$29,MOD(Assumptions!I$189-Account_Register!$O$29,12)=0),H63*(1-Assumptions!$C$137),0)+IF(AND(Assumptions!I$189&gt;Account_Register!$O$30,MOD(Assumptions!I$189-Account_Register!$O$30,12)=0),H64*(1-Assumptions!$C$137),0)+IF(AND(Assumptions!I$189&gt;Account_Register!$O$31,MOD(Assumptions!I$189-Account_Register!$O$31,12)=0),H65*(1-Assumptions!$C$137),0)+IF(AND(Assumptions!I$189&gt;Account_Register!$O$32,MOD(Assumptions!I$189-Account_Register!$O$32,12)=0),H66*(1-Assumptions!$C$137),0)+IF(AND(Assumptions!I$189&gt;Account_Register!$O$33,MOD(Assumptions!I$189-Account_Register!$O$33,12)=0),H67*(1-Assumptions!$C$137),0)+IF(AND(Assumptions!I$189&gt;Account_Register!$O$34,MOD(Assumptions!I$189-Account_Register!$O$34,12)=0),H68*(1-Assumptions!$C$137),0)))</f>
        <v>-0</v>
      </c>
      <c r="J114" s="69" t="n">
        <f aca="false">IF(J$5="A",-Inputs_Actuals!J210,-(I43*(1-Account_Register!$M$9)+I52*(1-Account_Register!$M$18)+IF(AND(Assumptions!J$189&gt;Account_Register!$O$29,MOD(Assumptions!J$189-Account_Register!$O$29,12)=0),I63*(1-Assumptions!$C$137),0)+IF(AND(Assumptions!J$189&gt;Account_Register!$O$30,MOD(Assumptions!J$189-Account_Register!$O$30,12)=0),I64*(1-Assumptions!$C$137),0)+IF(AND(Assumptions!J$189&gt;Account_Register!$O$31,MOD(Assumptions!J$189-Account_Register!$O$31,12)=0),I65*(1-Assumptions!$C$137),0)+IF(AND(Assumptions!J$189&gt;Account_Register!$O$32,MOD(Assumptions!J$189-Account_Register!$O$32,12)=0),I66*(1-Assumptions!$C$137),0)+IF(AND(Assumptions!J$189&gt;Account_Register!$O$33,MOD(Assumptions!J$189-Account_Register!$O$33,12)=0),I67*(1-Assumptions!$C$137),0)+IF(AND(Assumptions!J$189&gt;Account_Register!$O$34,MOD(Assumptions!J$189-Account_Register!$O$34,12)=0),I68*(1-Assumptions!$C$137),0)))</f>
        <v>-0</v>
      </c>
      <c r="K114" s="69" t="n">
        <f aca="false">IF(K$5="A",-Inputs_Actuals!K210,-(J58*(1-Account_Register!$M$24)+IF(AND(Assumptions!K$189&gt;Account_Register!$O$29,MOD(Assumptions!K$189-Account_Register!$O$29,12)=0),J63*(1-Assumptions!$C$137),0)+IF(AND(Assumptions!K$189&gt;Account_Register!$O$30,MOD(Assumptions!K$189-Account_Register!$O$30,12)=0),J64*(1-Assumptions!$C$137),0)+IF(AND(Assumptions!K$189&gt;Account_Register!$O$31,MOD(Assumptions!K$189-Account_Register!$O$31,12)=0),J65*(1-Assumptions!$C$137),0)+IF(AND(Assumptions!K$189&gt;Account_Register!$O$32,MOD(Assumptions!K$189-Account_Register!$O$32,12)=0),J66*(1-Assumptions!$C$137),0)+IF(AND(Assumptions!K$189&gt;Account_Register!$O$33,MOD(Assumptions!K$189-Account_Register!$O$33,12)=0),J67*(1-Assumptions!$C$137),0)+IF(AND(Assumptions!K$189&gt;Account_Register!$O$34,MOD(Assumptions!K$189-Account_Register!$O$34,12)=0),J68*(1-Assumptions!$C$137),0)))</f>
        <v>-0</v>
      </c>
      <c r="L114" s="69" t="n">
        <f aca="false">IF(L$5="A",-Inputs_Actuals!L210,-(IF(AND(Assumptions!L$189&gt;Account_Register!$O$29,MOD(Assumptions!L$189-Account_Register!$O$29,12)=0),K63*(1-Assumptions!$C$137),0)+IF(AND(Assumptions!L$189&gt;Account_Register!$O$30,MOD(Assumptions!L$189-Account_Register!$O$30,12)=0),K64*(1-Assumptions!$C$137),0)+IF(AND(Assumptions!L$189&gt;Account_Register!$O$31,MOD(Assumptions!L$189-Account_Register!$O$31,12)=0),K65*(1-Assumptions!$C$137),0)+IF(AND(Assumptions!L$189&gt;Account_Register!$O$32,MOD(Assumptions!L$189-Account_Register!$O$32,12)=0),K66*(1-Assumptions!$C$137),0)+IF(AND(Assumptions!L$189&gt;Account_Register!$O$33,MOD(Assumptions!L$189-Account_Register!$O$33,12)=0),K67*(1-Assumptions!$C$137),0)+IF(AND(Assumptions!L$189&gt;Account_Register!$O$34,MOD(Assumptions!L$189-Account_Register!$O$34,12)=0),K68*(1-Assumptions!$C$137),0)))</f>
        <v>-0</v>
      </c>
      <c r="M114" s="69" t="n">
        <f aca="false">IF(M$5="A",-Inputs_Actuals!M210,-(L47*(1-Account_Register!$M$13)+L53*(1-Account_Register!$M$19)+L59*(1-Account_Register!$M$25)+IF(AND(Assumptions!M$189&gt;Account_Register!$O$29,MOD(Assumptions!M$189-Account_Register!$O$29,12)=0),L63*(1-Assumptions!$C$137),0)+IF(AND(Assumptions!M$189&gt;Account_Register!$O$30,MOD(Assumptions!M$189-Account_Register!$O$30,12)=0),L64*(1-Assumptions!$C$137),0)+IF(AND(Assumptions!M$189&gt;Account_Register!$O$31,MOD(Assumptions!M$189-Account_Register!$O$31,12)=0),L65*(1-Assumptions!$C$137),0)+IF(AND(Assumptions!M$189&gt;Account_Register!$O$32,MOD(Assumptions!M$189-Account_Register!$O$32,12)=0),L66*(1-Assumptions!$C$137),0)+IF(AND(Assumptions!M$189&gt;Account_Register!$O$33,MOD(Assumptions!M$189-Account_Register!$O$33,12)=0),L67*(1-Assumptions!$C$137),0)+IF(AND(Assumptions!M$189&gt;Account_Register!$O$34,MOD(Assumptions!M$189-Account_Register!$O$34,12)=0),L68*(1-Assumptions!$C$137),0)))</f>
        <v>-0.19</v>
      </c>
      <c r="N114" s="69" t="n">
        <f aca="false">IF(N$5="A",-Inputs_Actuals!N210,-(M44*(1-Account_Register!$M$10)+IF(AND(Assumptions!N$189&gt;Account_Register!$O$29,MOD(Assumptions!N$189-Account_Register!$O$29,12)=0),M63*(1-Assumptions!$C$137),0)+IF(AND(Assumptions!N$189&gt;Account_Register!$O$30,MOD(Assumptions!N$189-Account_Register!$O$30,12)=0),M64*(1-Assumptions!$C$137),0)+IF(AND(Assumptions!N$189&gt;Account_Register!$O$31,MOD(Assumptions!N$189-Account_Register!$O$31,12)=0),M65*(1-Assumptions!$C$137),0)+IF(AND(Assumptions!N$189&gt;Account_Register!$O$32,MOD(Assumptions!N$189-Account_Register!$O$32,12)=0),M66*(1-Assumptions!$C$137),0)+IF(AND(Assumptions!N$189&gt;Account_Register!$O$33,MOD(Assumptions!N$189-Account_Register!$O$33,12)=0),M67*(1-Assumptions!$C$137),0)+IF(AND(Assumptions!N$189&gt;Account_Register!$O$34,MOD(Assumptions!N$189-Account_Register!$O$34,12)=0),M68*(1-Assumptions!$C$137),0)))</f>
        <v>-0.07</v>
      </c>
      <c r="O114" s="69" t="n">
        <f aca="false">IF(O$5="A",-Inputs_Actuals!O210,-(N48*(1-Account_Register!$M$14)+N54*(1-Account_Register!$M$20)+N60*(1-Account_Register!$M$26)+IF(AND(Assumptions!O$189&gt;Account_Register!$O$29,MOD(Assumptions!O$189-Account_Register!$O$29,12)=0),N63*(1-Assumptions!$C$137),0)+IF(AND(Assumptions!O$189&gt;Account_Register!$O$30,MOD(Assumptions!O$189-Account_Register!$O$30,12)=0),N64*(1-Assumptions!$C$137),0)+IF(AND(Assumptions!O$189&gt;Account_Register!$O$31,MOD(Assumptions!O$189-Account_Register!$O$31,12)=0),N65*(1-Assumptions!$C$137),0)+IF(AND(Assumptions!O$189&gt;Account_Register!$O$32,MOD(Assumptions!O$189-Account_Register!$O$32,12)=0),N66*(1-Assumptions!$C$137),0)+IF(AND(Assumptions!O$189&gt;Account_Register!$O$33,MOD(Assumptions!O$189-Account_Register!$O$33,12)=0),N67*(1-Assumptions!$C$137),0)+IF(AND(Assumptions!O$189&gt;Account_Register!$O$34,MOD(Assumptions!O$189-Account_Register!$O$34,12)=0),N68*(1-Assumptions!$C$137),0)))</f>
        <v>-0.2</v>
      </c>
      <c r="P114" s="69" t="n">
        <f aca="false">IF(P$5="A",-Inputs_Actuals!P210,-(IF(AND(Assumptions!P$189&gt;Account_Register!$O$29,MOD(Assumptions!P$189-Account_Register!$O$29,12)=0),O63*(1-Assumptions!$C$137),0)+IF(AND(Assumptions!P$189&gt;Account_Register!$O$30,MOD(Assumptions!P$189-Account_Register!$O$30,12)=0),O64*(1-Assumptions!$C$137),0)+IF(AND(Assumptions!P$189&gt;Account_Register!$O$31,MOD(Assumptions!P$189-Account_Register!$O$31,12)=0),O65*(1-Assumptions!$C$137),0)+IF(AND(Assumptions!P$189&gt;Account_Register!$O$32,MOD(Assumptions!P$189-Account_Register!$O$32,12)=0),O66*(1-Assumptions!$C$137),0)+IF(AND(Assumptions!P$189&gt;Account_Register!$O$33,MOD(Assumptions!P$189-Account_Register!$O$33,12)=0),O67*(1-Assumptions!$C$137),0)+IF(AND(Assumptions!P$189&gt;Account_Register!$O$34,MOD(Assumptions!P$189-Account_Register!$O$34,12)=0),O68*(1-Assumptions!$C$137),0)))</f>
        <v>-0</v>
      </c>
      <c r="Q114" s="69" t="n">
        <f aca="false">IF(Q$5="A",-Inputs_Actuals!Q210,-(P41*(1-Account_Register!$M$7)+P49*(1-Account_Register!$M$15)+P55*(1-Account_Register!$M$21)+IF(AND(Assumptions!Q$189&gt;Account_Register!$O$29,MOD(Assumptions!Q$189-Account_Register!$O$29,12)=0),P63*(1-Assumptions!$C$137),0)+IF(AND(Assumptions!Q$189&gt;Account_Register!$O$30,MOD(Assumptions!Q$189-Account_Register!$O$30,12)=0),P64*(1-Assumptions!$C$137),0)+IF(AND(Assumptions!Q$189&gt;Account_Register!$O$31,MOD(Assumptions!Q$189-Account_Register!$O$31,12)=0),P65*(1-Assumptions!$C$137),0)+IF(AND(Assumptions!Q$189&gt;Account_Register!$O$32,MOD(Assumptions!Q$189-Account_Register!$O$32,12)=0),P66*(1-Assumptions!$C$137),0)+IF(AND(Assumptions!Q$189&gt;Account_Register!$O$33,MOD(Assumptions!Q$189-Account_Register!$O$33,12)=0),P67*(1-Assumptions!$C$137),0)+IF(AND(Assumptions!Q$189&gt;Account_Register!$O$34,MOD(Assumptions!Q$189-Account_Register!$O$34,12)=0),P68*(1-Assumptions!$C$137),0)))</f>
        <v>-0.35</v>
      </c>
      <c r="R114" s="69" t="n">
        <f aca="false">IF(R$5="A",-Inputs_Actuals!R210,-(Q45*(1-Account_Register!$M$11)+IF(AND(Assumptions!R$189&gt;Account_Register!$O$29,MOD(Assumptions!R$189-Account_Register!$O$29,12)=0),Q63*(1-Assumptions!$C$137),0)+IF(AND(Assumptions!R$189&gt;Account_Register!$O$30,MOD(Assumptions!R$189-Account_Register!$O$30,12)=0),Q64*(1-Assumptions!$C$137),0)+IF(AND(Assumptions!R$189&gt;Account_Register!$O$31,MOD(Assumptions!R$189-Account_Register!$O$31,12)=0),Q65*(1-Assumptions!$C$137),0)+IF(AND(Assumptions!R$189&gt;Account_Register!$O$32,MOD(Assumptions!R$189-Account_Register!$O$32,12)=0),Q66*(1-Assumptions!$C$137),0)+IF(AND(Assumptions!R$189&gt;Account_Register!$O$33,MOD(Assumptions!R$189-Account_Register!$O$33,12)=0),Q67*(1-Assumptions!$C$137),0)+IF(AND(Assumptions!R$189&gt;Account_Register!$O$34,MOD(Assumptions!R$189-Account_Register!$O$34,12)=0),Q68*(1-Assumptions!$C$137),0)))</f>
        <v>-0</v>
      </c>
      <c r="S114" s="69" t="n">
        <f aca="false">IF(S$5="A",-Inputs_Actuals!S210,-(R42*(1-Account_Register!$M$8)+R50*(1-Account_Register!$M$16)+R56*(1-Account_Register!$M$22)+IF(AND(Assumptions!S$189&gt;Account_Register!$O$29,MOD(Assumptions!S$189-Account_Register!$O$29,12)=0),R63*(1-Assumptions!$C$137),0)+IF(AND(Assumptions!S$189&gt;Account_Register!$O$30,MOD(Assumptions!S$189-Account_Register!$O$30,12)=0),R64*(1-Assumptions!$C$137),0)+IF(AND(Assumptions!S$189&gt;Account_Register!$O$31,MOD(Assumptions!S$189-Account_Register!$O$31,12)=0),R65*(1-Assumptions!$C$137),0)+IF(AND(Assumptions!S$189&gt;Account_Register!$O$32,MOD(Assumptions!S$189-Account_Register!$O$32,12)=0),R66*(1-Assumptions!$C$137),0)+IF(AND(Assumptions!S$189&gt;Account_Register!$O$33,MOD(Assumptions!S$189-Account_Register!$O$33,12)=0),R67*(1-Assumptions!$C$137),0)+IF(AND(Assumptions!S$189&gt;Account_Register!$O$34,MOD(Assumptions!S$189-Account_Register!$O$34,12)=0),R68*(1-Assumptions!$C$137),0)))</f>
        <v>-0.19</v>
      </c>
      <c r="T114" s="69" t="n">
        <f aca="false">IF(T$5="A",-Inputs_Actuals!T210,-(S51*(1-Account_Register!$M$17)+S61*(1-Account_Register!$M$27)+IF(AND(Assumptions!T$189&gt;Account_Register!$O$29,MOD(Assumptions!T$189-Account_Register!$O$29,12)=0),S63*(1-Assumptions!$C$137),0)+IF(AND(Assumptions!T$189&gt;Account_Register!$O$30,MOD(Assumptions!T$189-Account_Register!$O$30,12)=0),S64*(1-Assumptions!$C$137),0)+IF(AND(Assumptions!T$189&gt;Account_Register!$O$31,MOD(Assumptions!T$189-Account_Register!$O$31,12)=0),S65*(1-Assumptions!$C$137),0)+IF(AND(Assumptions!T$189&gt;Account_Register!$O$32,MOD(Assumptions!T$189-Account_Register!$O$32,12)=0),S66*(1-Assumptions!$C$137),0)+IF(AND(Assumptions!T$189&gt;Account_Register!$O$33,MOD(Assumptions!T$189-Account_Register!$O$33,12)=0),S67*(1-Assumptions!$C$137),0)+IF(AND(Assumptions!T$189&gt;Account_Register!$O$34,MOD(Assumptions!T$189-Account_Register!$O$34,12)=0),S68*(1-Assumptions!$C$137),0)))</f>
        <v>-0.11</v>
      </c>
      <c r="U114" s="69" t="n">
        <f aca="false">IF(U$5="A",-Inputs_Actuals!U210,-(T46*(1-Account_Register!$M$12)+T57*(1-Account_Register!$M$23)+IF(AND(Assumptions!U$189&gt;Account_Register!$O$29,MOD(Assumptions!U$189-Account_Register!$O$29,12)=0),T63*(1-Assumptions!$C$137),0)+IF(AND(Assumptions!U$189&gt;Account_Register!$O$30,MOD(Assumptions!U$189-Account_Register!$O$30,12)=0),T64*(1-Assumptions!$C$137),0)+IF(AND(Assumptions!U$189&gt;Account_Register!$O$31,MOD(Assumptions!U$189-Account_Register!$O$31,12)=0),T65*(1-Assumptions!$C$137),0)+IF(AND(Assumptions!U$189&gt;Account_Register!$O$32,MOD(Assumptions!U$189-Account_Register!$O$32,12)=0),T66*(1-Assumptions!$C$137),0)+IF(AND(Assumptions!U$189&gt;Account_Register!$O$33,MOD(Assumptions!U$189-Account_Register!$O$33,12)=0),T67*(1-Assumptions!$C$137),0)+IF(AND(Assumptions!U$189&gt;Account_Register!$O$34,MOD(Assumptions!U$189-Account_Register!$O$34,12)=0),T68*(1-Assumptions!$C$137),0)))</f>
        <v>-0.12</v>
      </c>
      <c r="V114" s="69" t="n">
        <f aca="false">IF(V$5="A",-Inputs_Actuals!V210,-(U43*(1-Account_Register!$M$9)+U52*(1-Account_Register!$M$18)+IF(AND(Assumptions!V$189&gt;Account_Register!$O$29,MOD(Assumptions!V$189-Account_Register!$O$29,12)=0),U63*(1-Assumptions!$C$137),0)+IF(AND(Assumptions!V$189&gt;Account_Register!$O$30,MOD(Assumptions!V$189-Account_Register!$O$30,12)=0),U64*(1-Assumptions!$C$137),0)+IF(AND(Assumptions!V$189&gt;Account_Register!$O$31,MOD(Assumptions!V$189-Account_Register!$O$31,12)=0),U65*(1-Assumptions!$C$137),0)+IF(AND(Assumptions!V$189&gt;Account_Register!$O$32,MOD(Assumptions!V$189-Account_Register!$O$32,12)=0),U66*(1-Assumptions!$C$137),0)+IF(AND(Assumptions!V$189&gt;Account_Register!$O$33,MOD(Assumptions!V$189-Account_Register!$O$33,12)=0),U67*(1-Assumptions!$C$137),0)+IF(AND(Assumptions!V$189&gt;Account_Register!$O$34,MOD(Assumptions!V$189-Account_Register!$O$34,12)=0),U68*(1-Assumptions!$C$137),0)))</f>
        <v>-0.13</v>
      </c>
      <c r="W114" s="69" t="n">
        <f aca="false">IF(W$5="A",-Inputs_Actuals!W210,-(V58*(1-Account_Register!$M$24)+V62*(1-Account_Register!$M$28)+IF(AND(Assumptions!W$189&gt;Account_Register!$O$29,MOD(Assumptions!W$189-Account_Register!$O$29,12)=0),V63*(1-Assumptions!$C$137),0)+IF(AND(Assumptions!W$189&gt;Account_Register!$O$30,MOD(Assumptions!W$189-Account_Register!$O$30,12)=0),V64*(1-Assumptions!$C$137),0)+IF(AND(Assumptions!W$189&gt;Account_Register!$O$31,MOD(Assumptions!W$189-Account_Register!$O$31,12)=0),V65*(1-Assumptions!$C$137),0)+IF(AND(Assumptions!W$189&gt;Account_Register!$O$32,MOD(Assumptions!W$189-Account_Register!$O$32,12)=0),V66*(1-Assumptions!$C$137),0)+IF(AND(Assumptions!W$189&gt;Account_Register!$O$33,MOD(Assumptions!W$189-Account_Register!$O$33,12)=0),V67*(1-Assumptions!$C$137),0)+IF(AND(Assumptions!W$189&gt;Account_Register!$O$34,MOD(Assumptions!W$189-Account_Register!$O$34,12)=0),V68*(1-Assumptions!$C$137),0)))</f>
        <v>-0.11</v>
      </c>
      <c r="X114" s="69" t="n">
        <f aca="false">IF(X$5="A",-Inputs_Actuals!X210,-(IF(AND(Assumptions!X$189&gt;Account_Register!$O$29,MOD(Assumptions!X$189-Account_Register!$O$29,12)=0),W63*(1-Assumptions!$C$137),0)+IF(AND(Assumptions!X$189&gt;Account_Register!$O$30,MOD(Assumptions!X$189-Account_Register!$O$30,12)=0),W64*(1-Assumptions!$C$137),0)+IF(AND(Assumptions!X$189&gt;Account_Register!$O$31,MOD(Assumptions!X$189-Account_Register!$O$31,12)=0),W65*(1-Assumptions!$C$137),0)+IF(AND(Assumptions!X$189&gt;Account_Register!$O$32,MOD(Assumptions!X$189-Account_Register!$O$32,12)=0),W66*(1-Assumptions!$C$137),0)+IF(AND(Assumptions!X$189&gt;Account_Register!$O$33,MOD(Assumptions!X$189-Account_Register!$O$33,12)=0),W67*(1-Assumptions!$C$137),0)+IF(AND(Assumptions!X$189&gt;Account_Register!$O$34,MOD(Assumptions!X$189-Account_Register!$O$34,12)=0),W68*(1-Assumptions!$C$137),0)))</f>
        <v>-0</v>
      </c>
      <c r="Y114" s="69" t="n">
        <f aca="false">IF(Y$5="A",-Inputs_Actuals!Y210,-(X47*(1-Account_Register!$M$13)+X53*(1-Account_Register!$M$19)+X59*(1-Account_Register!$M$25)+IF(AND(Assumptions!Y$189&gt;Account_Register!$O$29,MOD(Assumptions!Y$189-Account_Register!$O$29,12)=0),X63*(1-Assumptions!$C$137),0)+IF(AND(Assumptions!Y$189&gt;Account_Register!$O$30,MOD(Assumptions!Y$189-Account_Register!$O$30,12)=0),X64*(1-Assumptions!$C$137),0)+IF(AND(Assumptions!Y$189&gt;Account_Register!$O$31,MOD(Assumptions!Y$189-Account_Register!$O$31,12)=0),X65*(1-Assumptions!$C$137),0)+IF(AND(Assumptions!Y$189&gt;Account_Register!$O$32,MOD(Assumptions!Y$189-Account_Register!$O$32,12)=0),X66*(1-Assumptions!$C$137),0)+IF(AND(Assumptions!Y$189&gt;Account_Register!$O$33,MOD(Assumptions!Y$189-Account_Register!$O$33,12)=0),X67*(1-Assumptions!$C$137),0)+IF(AND(Assumptions!Y$189&gt;Account_Register!$O$34,MOD(Assumptions!Y$189-Account_Register!$O$34,12)=0),X68*(1-Assumptions!$C$137),0)))</f>
        <v>-0.1775</v>
      </c>
      <c r="Z114" s="69" t="n">
        <f aca="false">IF(Z$5="A",-Inputs_Actuals!Z210,-(Y44*(1-Account_Register!$M$10)+IF(AND(Assumptions!Z$189&gt;Account_Register!$O$29,MOD(Assumptions!Z$189-Account_Register!$O$29,12)=0),Y63*(1-Assumptions!$C$137),0)+IF(AND(Assumptions!Z$189&gt;Account_Register!$O$30,MOD(Assumptions!Z$189-Account_Register!$O$30,12)=0),Y64*(1-Assumptions!$C$137),0)+IF(AND(Assumptions!Z$189&gt;Account_Register!$O$31,MOD(Assumptions!Z$189-Account_Register!$O$31,12)=0),Y65*(1-Assumptions!$C$137),0)+IF(AND(Assumptions!Z$189&gt;Account_Register!$O$32,MOD(Assumptions!Z$189-Account_Register!$O$32,12)=0),Y66*(1-Assumptions!$C$137),0)+IF(AND(Assumptions!Z$189&gt;Account_Register!$O$33,MOD(Assumptions!Z$189-Account_Register!$O$33,12)=0),Y67*(1-Assumptions!$C$137),0)+IF(AND(Assumptions!Z$189&gt;Account_Register!$O$34,MOD(Assumptions!Z$189-Account_Register!$O$34,12)=0),Y68*(1-Assumptions!$C$137),0)))</f>
        <v>-0.0651</v>
      </c>
      <c r="AA114" s="69" t="n">
        <f aca="false">IF(AA$5="A",-Inputs_Actuals!AA210,-(Z48*(1-Account_Register!$M$14)+Z54*(1-Account_Register!$M$20)+Z60*(1-Account_Register!$M$26)+IF(AND(Assumptions!AA$189&gt;Account_Register!$O$29,MOD(Assumptions!AA$189-Account_Register!$O$29,12)=0),Z63*(1-Assumptions!$C$137),0)+IF(AND(Assumptions!AA$189&gt;Account_Register!$O$30,MOD(Assumptions!AA$189-Account_Register!$O$30,12)=0),Z64*(1-Assumptions!$C$137),0)+IF(AND(Assumptions!AA$189&gt;Account_Register!$O$31,MOD(Assumptions!AA$189-Account_Register!$O$31,12)=0),Z65*(1-Assumptions!$C$137),0)+IF(AND(Assumptions!AA$189&gt;Account_Register!$O$32,MOD(Assumptions!AA$189-Account_Register!$O$32,12)=0),Z66*(1-Assumptions!$C$137),0)+IF(AND(Assumptions!AA$189&gt;Account_Register!$O$33,MOD(Assumptions!AA$189-Account_Register!$O$33,12)=0),Z67*(1-Assumptions!$C$137),0)+IF(AND(Assumptions!AA$189&gt;Account_Register!$O$34,MOD(Assumptions!AA$189-Account_Register!$O$34,12)=0),Z68*(1-Assumptions!$C$137),0)))</f>
        <v>-0.215</v>
      </c>
      <c r="AB114" s="69" t="n">
        <f aca="false">IF(AB$5="A",-Inputs_Actuals!AB210,-(IF(AND(Assumptions!AB$189&gt;Account_Register!$O$29,MOD(Assumptions!AB$189-Account_Register!$O$29,12)=0),AA63*(1-Assumptions!$C$137),0)+IF(AND(Assumptions!AB$189&gt;Account_Register!$O$30,MOD(Assumptions!AB$189-Account_Register!$O$30,12)=0),AA64*(1-Assumptions!$C$137),0)+IF(AND(Assumptions!AB$189&gt;Account_Register!$O$31,MOD(Assumptions!AB$189-Account_Register!$O$31,12)=0),AA65*(1-Assumptions!$C$137),0)+IF(AND(Assumptions!AB$189&gt;Account_Register!$O$32,MOD(Assumptions!AB$189-Account_Register!$O$32,12)=0),AA66*(1-Assumptions!$C$137),0)+IF(AND(Assumptions!AB$189&gt;Account_Register!$O$33,MOD(Assumptions!AB$189-Account_Register!$O$33,12)=0),AA67*(1-Assumptions!$C$137),0)+IF(AND(Assumptions!AB$189&gt;Account_Register!$O$34,MOD(Assumptions!AB$189-Account_Register!$O$34,12)=0),AA68*(1-Assumptions!$C$137),0)))</f>
        <v>-0.025</v>
      </c>
    </row>
    <row r="115" customFormat="false" ht="15" hidden="false" customHeight="false" outlineLevel="0" collapsed="false">
      <c r="A115" s="28" t="s">
        <v>1047</v>
      </c>
      <c r="B115" s="63"/>
      <c r="C115" s="68" t="n">
        <f aca="false">SUM(E115:P115)</f>
        <v>0</v>
      </c>
      <c r="D115" s="68" t="n">
        <f aca="false">SUM(Q115:AB115)</f>
        <v>0</v>
      </c>
      <c r="E115" s="69" t="n">
        <f aca="false">ROUND(SUMPRODUCT((Account_Register!$H$7:$H$28&gt;0)*(Account_Register!$F$7:$F$28&lt;=0))+E113+E114-E70,4)</f>
        <v>0</v>
      </c>
      <c r="F115" s="80" t="n">
        <f aca="false">ROUND(E70+F113+F114-F70,4)</f>
        <v>0</v>
      </c>
      <c r="G115" s="80" t="n">
        <f aca="false">ROUND(F70+G113+G114-G70,4)</f>
        <v>0</v>
      </c>
      <c r="H115" s="80" t="n">
        <f aca="false">ROUND(G70+H113+H114-H70,4)</f>
        <v>0</v>
      </c>
      <c r="I115" s="80" t="n">
        <f aca="false">ROUND(H70+I113+I114-I70,4)</f>
        <v>0</v>
      </c>
      <c r="J115" s="80" t="n">
        <f aca="false">ROUND(I70+J113+J114-J70,4)</f>
        <v>0</v>
      </c>
      <c r="K115" s="80" t="n">
        <f aca="false">ROUND(J70+K113+K114-K70,4)</f>
        <v>0</v>
      </c>
      <c r="L115" s="80" t="n">
        <f aca="false">ROUND(K70+L113+L114-L70,4)</f>
        <v>0</v>
      </c>
      <c r="M115" s="80" t="n">
        <f aca="false">ROUND(L70+M113+M114-M70,4)</f>
        <v>0</v>
      </c>
      <c r="N115" s="80" t="n">
        <f aca="false">ROUND(M70+N113+N114-N70,4)</f>
        <v>0</v>
      </c>
      <c r="O115" s="80" t="n">
        <f aca="false">ROUND(N70+O113+O114-O70,4)</f>
        <v>0</v>
      </c>
      <c r="P115" s="80" t="n">
        <f aca="false">ROUND(O70+P113+P114-P70,4)</f>
        <v>0</v>
      </c>
      <c r="Q115" s="80" t="n">
        <f aca="false">ROUND(P70+Q113+Q114-Q70,4)</f>
        <v>0</v>
      </c>
      <c r="R115" s="80" t="n">
        <f aca="false">ROUND(Q70+R113+R114-R70,4)</f>
        <v>0</v>
      </c>
      <c r="S115" s="80" t="n">
        <f aca="false">ROUND(R70+S113+S114-S70,4)</f>
        <v>0</v>
      </c>
      <c r="T115" s="80" t="n">
        <f aca="false">ROUND(S70+T113+T114-T70,4)</f>
        <v>0</v>
      </c>
      <c r="U115" s="80" t="n">
        <f aca="false">ROUND(T70+U113+U114-U70,4)</f>
        <v>0</v>
      </c>
      <c r="V115" s="80" t="n">
        <f aca="false">ROUND(U70+V113+V114-V70,4)</f>
        <v>0</v>
      </c>
      <c r="W115" s="80" t="n">
        <f aca="false">ROUND(V70+W113+W114-W70,4)</f>
        <v>0</v>
      </c>
      <c r="X115" s="80" t="n">
        <f aca="false">ROUND(W70+X113+X114-X70,4)</f>
        <v>0</v>
      </c>
      <c r="Y115" s="80" t="n">
        <f aca="false">ROUND(X70+Y113+Y114-Y70,4)</f>
        <v>0</v>
      </c>
      <c r="Z115" s="80" t="n">
        <f aca="false">ROUND(Y70+Z113+Z114-Z70,4)</f>
        <v>0</v>
      </c>
      <c r="AA115" s="80" t="n">
        <f aca="false">ROUND(Z70+AA113+AA114-AA70,4)</f>
        <v>0</v>
      </c>
      <c r="AB115" s="80" t="n">
        <f aca="false">ROUND(AA70+AB113+AB114-AB70,4)</f>
        <v>0</v>
      </c>
    </row>
    <row r="116" customFormat="false" ht="15" hidden="false" customHeight="false" outlineLevel="0" collapsed="false">
      <c r="A116" s="28" t="s">
        <v>961</v>
      </c>
      <c r="B116" s="63" t="s">
        <v>856</v>
      </c>
      <c r="C116" s="64" t="n">
        <f aca="false">P116</f>
        <v>778118.99632432</v>
      </c>
      <c r="D116" s="64" t="n">
        <f aca="false">AB116</f>
        <v>1009087.22871345</v>
      </c>
      <c r="E116" s="65" t="n">
        <f aca="false">E9*11+E10*1+E11*4+E12*8+E14*3+E15*7+E16*9+E17*11+E18*1+E19*2+E20*4+E21*7+E22*9+E23*11+E24*1+E25*3+E26*5+E27*7+E28*9+IF(Assumptions!E$189&gt;=Account_Register!$O$29,E31*(11-MOD(Assumptions!E$189-Account_Register!$O$29,12)),0)+IF(Assumptions!E$189&gt;=Account_Register!$O$30,E32*(11-MOD(Assumptions!E$189-Account_Register!$O$30,12)),0)+IF(Assumptions!E$189&gt;=Account_Register!$O$31,E33*(11-MOD(Assumptions!E$189-Account_Register!$O$31,12)),0)+IF(Assumptions!E$189&gt;=Account_Register!$O$32,E34*(11-MOD(Assumptions!E$189-Account_Register!$O$32,12)),0)+IF(Assumptions!E$189&gt;=Account_Register!$O$33,E35*(11-MOD(Assumptions!E$189-Account_Register!$O$33,12)),0)+IF(Assumptions!E$189&gt;=Account_Register!$O$34,E36*(11-MOD(Assumptions!E$189-Account_Register!$O$34,12)),0)+E37*11</f>
        <v>824659.54</v>
      </c>
      <c r="F116" s="65" t="n">
        <f aca="false">F9*10+F11*3+F12*7+F13*11+F14*2+F15*6+F16*8+F17*10+F19*1+F20*3+F21*6+F22*8+F23*10+F25*2+F26*4+F27*6+F28*8+IF(Assumptions!F$189&gt;=Account_Register!$O$29,F31*(11-MOD(Assumptions!F$189-Account_Register!$O$29,12)),0)+IF(Assumptions!F$189&gt;=Account_Register!$O$30,F32*(11-MOD(Assumptions!F$189-Account_Register!$O$30,12)),0)+IF(Assumptions!F$189&gt;=Account_Register!$O$31,F33*(11-MOD(Assumptions!F$189-Account_Register!$O$31,12)),0)+IF(Assumptions!F$189&gt;=Account_Register!$O$32,F34*(11-MOD(Assumptions!F$189-Account_Register!$O$32,12)),0)+IF(Assumptions!F$189&gt;=Account_Register!$O$33,F35*(11-MOD(Assumptions!F$189-Account_Register!$O$33,12)),0)+IF(Assumptions!F$189&gt;=Account_Register!$O$34,F36*(11-MOD(Assumptions!F$189-Account_Register!$O$34,12)),0)+E37*10+F37*11</f>
        <v>695381.1</v>
      </c>
      <c r="G116" s="65" t="n">
        <f aca="false">G9*9+G10*11+G11*2+G12*6+G13*10+G14*1+G15*5+G16*7+G17*9+G18*11+G20*2+G21*5+G22*7+G23*9+G24*11+G25*1+G26*3+G27*5+G28*7+IF(Assumptions!G$189&gt;=Account_Register!$O$29,G31*(11-MOD(Assumptions!G$189-Account_Register!$O$29,12)),0)+IF(Assumptions!G$189&gt;=Account_Register!$O$30,G32*(11-MOD(Assumptions!G$189-Account_Register!$O$30,12)),0)+IF(Assumptions!G$189&gt;=Account_Register!$O$31,G33*(11-MOD(Assumptions!G$189-Account_Register!$O$31,12)),0)+IF(Assumptions!G$189&gt;=Account_Register!$O$32,G34*(11-MOD(Assumptions!G$189-Account_Register!$O$32,12)),0)+IF(Assumptions!G$189&gt;=Account_Register!$O$33,G35*(11-MOD(Assumptions!G$189-Account_Register!$O$33,12)),0)+IF(Assumptions!G$189&gt;=Account_Register!$O$34,G36*(11-MOD(Assumptions!G$189-Account_Register!$O$34,12)),0)+E37*9+F37*10+G37*11</f>
        <v>837804.69</v>
      </c>
      <c r="H116" s="65" t="n">
        <f aca="false">H9*8+H10*10+H11*1+H12*5+H13*9+H15*4+H16*6+H17*8+H18*10+H19*11+H20*1+H21*4+H22*6+H23*8+H24*10+H26*2+H27*4+H28*6+H29*11+IF(Assumptions!H$189&gt;=Account_Register!$O$29,H31*(11-MOD(Assumptions!H$189-Account_Register!$O$29,12)),0)+IF(Assumptions!H$189&gt;=Account_Register!$O$30,H32*(11-MOD(Assumptions!H$189-Account_Register!$O$30,12)),0)+IF(Assumptions!H$189&gt;=Account_Register!$O$31,H33*(11-MOD(Assumptions!H$189-Account_Register!$O$31,12)),0)+IF(Assumptions!H$189&gt;=Account_Register!$O$32,H34*(11-MOD(Assumptions!H$189-Account_Register!$O$32,12)),0)+IF(Assumptions!H$189&gt;=Account_Register!$O$33,H35*(11-MOD(Assumptions!H$189-Account_Register!$O$33,12)),0)+IF(Assumptions!H$189&gt;=Account_Register!$O$34,H36*(11-MOD(Assumptions!H$189-Account_Register!$O$34,12)),0)+E37*8+F37*9+G37*10+H37*11</f>
        <v>896804.59</v>
      </c>
      <c r="I116" s="65" t="n">
        <f aca="false">I9*7+I10*9+I12*4+I13*8+I14*11+I15*3+I16*5+I17*7+I18*9+I19*10+I21*3+I22*5+I23*7+I24*9+I25*11+I26*1+I27*3+I28*5+I29*10+IF(Assumptions!I$189&gt;=Account_Register!$O$29,I31*(11-MOD(Assumptions!I$189-Account_Register!$O$29,12)),0)+IF(Assumptions!I$189&gt;=Account_Register!$O$30,I32*(11-MOD(Assumptions!I$189-Account_Register!$O$30,12)),0)+IF(Assumptions!I$189&gt;=Account_Register!$O$31,I33*(11-MOD(Assumptions!I$189-Account_Register!$O$31,12)),0)+IF(Assumptions!I$189&gt;=Account_Register!$O$32,I34*(11-MOD(Assumptions!I$189-Account_Register!$O$32,12)),0)+IF(Assumptions!I$189&gt;=Account_Register!$O$33,I35*(11-MOD(Assumptions!I$189-Account_Register!$O$33,12)),0)+IF(Assumptions!I$189&gt;=Account_Register!$O$34,I36*(11-MOD(Assumptions!I$189-Account_Register!$O$34,12)),0)+E37*7+F37*8+G37*9+H37*10+I37*11</f>
        <v>899398.81</v>
      </c>
      <c r="J116" s="65" t="n">
        <f aca="false">J9*6+J10*8+J11*11+J12*3+J13*7+J14*10+J15*2+J16*4+J17*6+J18*8+J19*9+J20*11+J21*2+J22*4+J23*6+J24*8+J25*10+J27*2+J28*4+J29*9+IF(Assumptions!J$189&gt;=Account_Register!$O$29,J31*(11-MOD(Assumptions!J$189-Account_Register!$O$29,12)),0)+IF(Assumptions!J$189&gt;=Account_Register!$O$30,J32*(11-MOD(Assumptions!J$189-Account_Register!$O$30,12)),0)+IF(Assumptions!J$189&gt;=Account_Register!$O$31,J33*(11-MOD(Assumptions!J$189-Account_Register!$O$31,12)),0)+IF(Assumptions!J$189&gt;=Account_Register!$O$32,J34*(11-MOD(Assumptions!J$189-Account_Register!$O$32,12)),0)+IF(Assumptions!J$189&gt;=Account_Register!$O$33,J35*(11-MOD(Assumptions!J$189-Account_Register!$O$33,12)),0)+IF(Assumptions!J$189&gt;=Account_Register!$O$34,J36*(11-MOD(Assumptions!J$189-Account_Register!$O$34,12)),0)+E37*6+F37*7+G37*8+H37*9+I37*10+J37*11</f>
        <v>921230.98</v>
      </c>
      <c r="K116" s="65" t="n">
        <f aca="false">K9*5+K10*7+K11*10+K12*2+K13*6+K14*9+K15*1+K16*3+K17*5+K18*7+K19*8+K20*10+K21*1+K22*3+K23*5+K24*7+K25*9+K26*11+K27*1+K28*3+K29*8+K30*11+IF(Assumptions!K$189&gt;=Account_Register!$O$29,K31*(11-MOD(Assumptions!K$189-Account_Register!$O$29,12)),0)+IF(Assumptions!K$189&gt;=Account_Register!$O$30,K32*(11-MOD(Assumptions!K$189-Account_Register!$O$30,12)),0)+IF(Assumptions!K$189&gt;=Account_Register!$O$31,K33*(11-MOD(Assumptions!K$189-Account_Register!$O$31,12)),0)+IF(Assumptions!K$189&gt;=Account_Register!$O$32,K34*(11-MOD(Assumptions!K$189-Account_Register!$O$32,12)),0)+IF(Assumptions!K$189&gt;=Account_Register!$O$33,K35*(11-MOD(Assumptions!K$189-Account_Register!$O$33,12)),0)+IF(Assumptions!K$189&gt;=Account_Register!$O$34,K36*(11-MOD(Assumptions!K$189-Account_Register!$O$34,12)),0)+E37*5+F37*6+G37*7+H37*8+I37*9+J37*10+K37*11</f>
        <v>901208.45</v>
      </c>
      <c r="L116" s="65" t="n">
        <f aca="false">L9*4+L10*6+L11*9+L12*1+L13*5+L14*8+L16*2+L17*4+L18*6+L19*7+L20*9+L22*2+L23*4+L24*6+L25*8+L26*10+L28*2+L29*7+L30*10+IF(Assumptions!L$189&gt;=Account_Register!$O$29,L31*(11-MOD(Assumptions!L$189-Account_Register!$O$29,12)),0)+IF(Assumptions!L$189&gt;=Account_Register!$O$30,L32*(11-MOD(Assumptions!L$189-Account_Register!$O$30,12)),0)+IF(Assumptions!L$189&gt;=Account_Register!$O$31,L33*(11-MOD(Assumptions!L$189-Account_Register!$O$31,12)),0)+IF(Assumptions!L$189&gt;=Account_Register!$O$32,L34*(11-MOD(Assumptions!L$189-Account_Register!$O$32,12)),0)+IF(Assumptions!L$189&gt;=Account_Register!$O$33,L35*(11-MOD(Assumptions!L$189-Account_Register!$O$33,12)),0)+IF(Assumptions!L$189&gt;=Account_Register!$O$34,L36*(11-MOD(Assumptions!L$189-Account_Register!$O$34,12)),0)+E37*4+F37*5+G37*6+H37*7+I37*8+J37*9+K37*10+L37*11</f>
        <v>748897.2</v>
      </c>
      <c r="M116" s="65" t="n">
        <f aca="false">M9*3+M10*5+M11*8+M13*4+M14*7+M15*11+M16*1+M17*3+M18*5+M19*6+M20*8+M21*11+M22*1+M23*3+M24*5+M25*7+M26*9+M27*11+M28*1+M29*6+M30*9+IF(Assumptions!M$189&gt;=Account_Register!$O$29,M31*(11-MOD(Assumptions!M$189-Account_Register!$O$29,12)),0)+IF(Assumptions!M$189&gt;=Account_Register!$O$30,M32*(11-MOD(Assumptions!M$189-Account_Register!$O$30,12)),0)+IF(Assumptions!M$189&gt;=Account_Register!$O$31,M33*(11-MOD(Assumptions!M$189-Account_Register!$O$31,12)),0)+IF(Assumptions!M$189&gt;=Account_Register!$O$32,M34*(11-MOD(Assumptions!M$189-Account_Register!$O$32,12)),0)+IF(Assumptions!M$189&gt;=Account_Register!$O$33,M35*(11-MOD(Assumptions!M$189-Account_Register!$O$33,12)),0)+IF(Assumptions!M$189&gt;=Account_Register!$O$34,M36*(11-MOD(Assumptions!M$189-Account_Register!$O$34,12)),0)+E37*3+F37*4+G37*5+H37*6+I37*7+J37*8+K37*9+L37*10+M37*11</f>
        <v>836207.79108404</v>
      </c>
      <c r="N116" s="65" t="n">
        <f aca="false">N9*2+N10*4+N11*7+N12*11+N13*3+N14*6+N15*10+N17*2+N18*4+N19*5+N20*7+N21*10+N23*2+N24*4+N25*6+N26*8+N27*10+N29*5+N30*8+IF(Assumptions!N$189&gt;=Account_Register!$O$29,N31*(11-MOD(Assumptions!N$189-Account_Register!$O$29,12)),0)+IF(Assumptions!N$189&gt;=Account_Register!$O$30,N32*(11-MOD(Assumptions!N$189-Account_Register!$O$30,12)),0)+IF(Assumptions!N$189&gt;=Account_Register!$O$31,N33*(11-MOD(Assumptions!N$189-Account_Register!$O$31,12)),0)+IF(Assumptions!N$189&gt;=Account_Register!$O$32,N34*(11-MOD(Assumptions!N$189-Account_Register!$O$32,12)),0)+IF(Assumptions!N$189&gt;=Account_Register!$O$33,N35*(11-MOD(Assumptions!N$189-Account_Register!$O$33,12)),0)+IF(Assumptions!N$189&gt;=Account_Register!$O$34,N36*(11-MOD(Assumptions!N$189-Account_Register!$O$34,12)),0)+E37*2+F37*3+G37*4+H37*5+I37*6+J37*7+K37*8+L37*9+M37*10+N37*11</f>
        <v>782179.4184152</v>
      </c>
      <c r="O116" s="65" t="n">
        <f aca="false">O9*1+O10*3+O11*6+O12*10+O13*2+O14*5+O15*9+O16*11+O17*1+O18*3+O19*4+O20*6+O21*9+O22*11+O23*1+O24*3+O25*5+O26*7+O27*9+O28*11+O29*4+O30*7+IF(Assumptions!O$189&gt;=Account_Register!$O$29,O31*(11-MOD(Assumptions!O$189-Account_Register!$O$29,12)),0)+IF(Assumptions!O$189&gt;=Account_Register!$O$30,O32*(11-MOD(Assumptions!O$189-Account_Register!$O$30,12)),0)+IF(Assumptions!O$189&gt;=Account_Register!$O$31,O33*(11-MOD(Assumptions!O$189-Account_Register!$O$31,12)),0)+IF(Assumptions!O$189&gt;=Account_Register!$O$32,O34*(11-MOD(Assumptions!O$189-Account_Register!$O$32,12)),0)+IF(Assumptions!O$189&gt;=Account_Register!$O$33,O35*(11-MOD(Assumptions!O$189-Account_Register!$O$33,12)),0)+IF(Assumptions!O$189&gt;=Account_Register!$O$34,O36*(11-MOD(Assumptions!O$189-Account_Register!$O$34,12)),0)+E37*1+F37*2+G37*3+H37*4+I37*5+J37*6+K37*7+L37*8+M37*9+N37*10+O37*11</f>
        <v>885391.84496136</v>
      </c>
      <c r="P116" s="65" t="n">
        <f aca="false">P10*2+P11*5+P12*9+P13*1+P14*4+P15*8+P16*10+P18*2+P19*3+P20*5+P21*8+P22*10+P24*2+P25*4+P26*6+P27*8+P28*10+P29*3+P30*6+IF(Assumptions!P$189&gt;=Account_Register!$O$29,P31*(11-MOD(Assumptions!P$189-Account_Register!$O$29,12)),0)+IF(Assumptions!P$189&gt;=Account_Register!$O$30,P32*(11-MOD(Assumptions!P$189-Account_Register!$O$30,12)),0)+IF(Assumptions!P$189&gt;=Account_Register!$O$31,P33*(11-MOD(Assumptions!P$189-Account_Register!$O$31,12)),0)+IF(Assumptions!P$189&gt;=Account_Register!$O$32,P34*(11-MOD(Assumptions!P$189-Account_Register!$O$32,12)),0)+IF(Assumptions!P$189&gt;=Account_Register!$O$33,P35*(11-MOD(Assumptions!P$189-Account_Register!$O$33,12)),0)+IF(Assumptions!P$189&gt;=Account_Register!$O$34,P36*(11-MOD(Assumptions!P$189-Account_Register!$O$34,12)),0)+F37*1+G37*2+H37*3+I37*4+J37*5+K37*6+L37*7+M37*8+N37*9+O37*10+P37*11</f>
        <v>778118.99632432</v>
      </c>
      <c r="Q116" s="65" t="n">
        <f aca="false">Q9*11+Q10*1+Q11*4+Q12*8+Q14*3+Q15*7+Q16*9+Q17*11+Q18*1+Q19*2+Q20*4+Q21*7+Q22*9+Q23*11+Q24*1+Q25*3+Q26*5+Q27*7+Q28*9+Q29*2+Q30*5+IF(Assumptions!Q$189&gt;=Account_Register!$O$29,Q31*(11-MOD(Assumptions!Q$189-Account_Register!$O$29,12)),0)+IF(Assumptions!Q$189&gt;=Account_Register!$O$30,Q32*(11-MOD(Assumptions!Q$189-Account_Register!$O$30,12)),0)+IF(Assumptions!Q$189&gt;=Account_Register!$O$31,Q33*(11-MOD(Assumptions!Q$189-Account_Register!$O$31,12)),0)+IF(Assumptions!Q$189&gt;=Account_Register!$O$32,Q34*(11-MOD(Assumptions!Q$189-Account_Register!$O$32,12)),0)+IF(Assumptions!Q$189&gt;=Account_Register!$O$33,Q35*(11-MOD(Assumptions!Q$189-Account_Register!$O$33,12)),0)+IF(Assumptions!Q$189&gt;=Account_Register!$O$34,Q36*(11-MOD(Assumptions!Q$189-Account_Register!$O$34,12)),0)+G37*1+H37*2+I37*3+J37*4+K37*5+L37*6+M37*7+N37*8+O37*9+P37*10+Q37*11</f>
        <v>991198.15064778</v>
      </c>
      <c r="R116" s="65" t="n">
        <f aca="false">R9*10+R11*3+R12*7+R13*11+R14*2+R15*6+R16*8+R17*10+R19*1+R20*3+R21*6+R22*8+R23*10+R25*2+R26*4+R27*6+R28*8+R29*1+R30*4+IF(Assumptions!R$189&gt;=Account_Register!$O$29,R31*(11-MOD(Assumptions!R$189-Account_Register!$O$29,12)),0)+IF(Assumptions!R$189&gt;=Account_Register!$O$30,R32*(11-MOD(Assumptions!R$189-Account_Register!$O$30,12)),0)+IF(Assumptions!R$189&gt;=Account_Register!$O$31,R33*(11-MOD(Assumptions!R$189-Account_Register!$O$31,12)),0)+IF(Assumptions!R$189&gt;=Account_Register!$O$32,R34*(11-MOD(Assumptions!R$189-Account_Register!$O$32,12)),0)+IF(Assumptions!R$189&gt;=Account_Register!$O$33,R35*(11-MOD(Assumptions!R$189-Account_Register!$O$33,12)),0)+IF(Assumptions!R$189&gt;=Account_Register!$O$34,R36*(11-MOD(Assumptions!R$189-Account_Register!$O$34,12)),0)+H37*1+I37*2+J37*3+K37*4+L37*5+M37*6+N37*7+O37*8+P37*9+Q37*10+R37*11</f>
        <v>859034.13810524</v>
      </c>
      <c r="S116" s="65" t="n">
        <f aca="false">S9*9+S10*11+S11*2+S12*6+S13*10+S14*1+S15*5+S16*7+S17*9+S18*11+S20*2+S21*5+S22*7+S23*9+S24*11+S25*1+S26*3+S27*5+S28*7+S30*3+IF(Assumptions!S$189&gt;=Account_Register!$O$29,S31*(11-MOD(Assumptions!S$189-Account_Register!$O$29,12)),0)+IF(Assumptions!S$189&gt;=Account_Register!$O$30,S32*(11-MOD(Assumptions!S$189-Account_Register!$O$30,12)),0)+IF(Assumptions!S$189&gt;=Account_Register!$O$31,S33*(11-MOD(Assumptions!S$189-Account_Register!$O$31,12)),0)+IF(Assumptions!S$189&gt;=Account_Register!$O$32,S34*(11-MOD(Assumptions!S$189-Account_Register!$O$32,12)),0)+IF(Assumptions!S$189&gt;=Account_Register!$O$33,S35*(11-MOD(Assumptions!S$189-Account_Register!$O$33,12)),0)+IF(Assumptions!S$189&gt;=Account_Register!$O$34,S36*(11-MOD(Assumptions!S$189-Account_Register!$O$34,12)),0)+I37*1+J37*2+K37*3+L37*4+M37*5+N37*6+O37*7+P37*8+Q37*9+R37*10+S37*11</f>
        <v>1006370.94424935</v>
      </c>
      <c r="T116" s="65" t="n">
        <f aca="false">T9*8+T10*10+T11*1+T12*5+T13*9+T15*4+T16*6+T17*8+T18*10+T19*11+T20*1+T21*4+T22*6+T23*8+T24*10+T26*2+T27*4+T28*6+T29*11+T30*2+IF(Assumptions!T$189&gt;=Account_Register!$O$29,T31*(11-MOD(Assumptions!T$189-Account_Register!$O$29,12)),0)+IF(Assumptions!T$189&gt;=Account_Register!$O$30,T32*(11-MOD(Assumptions!T$189-Account_Register!$O$30,12)),0)+IF(Assumptions!T$189&gt;=Account_Register!$O$31,T33*(11-MOD(Assumptions!T$189-Account_Register!$O$31,12)),0)+IF(Assumptions!T$189&gt;=Account_Register!$O$32,T34*(11-MOD(Assumptions!T$189-Account_Register!$O$32,12)),0)+IF(Assumptions!T$189&gt;=Account_Register!$O$33,T35*(11-MOD(Assumptions!T$189-Account_Register!$O$33,12)),0)+IF(Assumptions!T$189&gt;=Account_Register!$O$34,T36*(11-MOD(Assumptions!T$189-Account_Register!$O$34,12)),0)+J37*1+K37*2+L37*3+M37*4+N37*5+O37*6+P37*7+Q37*8+R37*9+S37*10+T37*11</f>
        <v>1077606.32284046</v>
      </c>
      <c r="U116" s="65" t="n">
        <f aca="false">U9*7+U10*9+U12*4+U13*8+U14*11+U15*3+U16*5+U17*7+U18*9+U19*10+U21*3+U22*5+U23*7+U24*9+U25*11+U26*1+U27*3+U28*5+U29*10+U30*1+IF(Assumptions!U$189&gt;=Account_Register!$O$29,U31*(11-MOD(Assumptions!U$189-Account_Register!$O$29,12)),0)+IF(Assumptions!U$189&gt;=Account_Register!$O$30,U32*(11-MOD(Assumptions!U$189-Account_Register!$O$30,12)),0)+IF(Assumptions!U$189&gt;=Account_Register!$O$31,U33*(11-MOD(Assumptions!U$189-Account_Register!$O$31,12)),0)+IF(Assumptions!U$189&gt;=Account_Register!$O$32,U34*(11-MOD(Assumptions!U$189-Account_Register!$O$32,12)),0)+IF(Assumptions!U$189&gt;=Account_Register!$O$33,U35*(11-MOD(Assumptions!U$189-Account_Register!$O$33,12)),0)+IF(Assumptions!U$189&gt;=Account_Register!$O$34,U36*(11-MOD(Assumptions!U$189-Account_Register!$O$34,12)),0)+K37*1+L37*2+M37*3+N37*4+O37*5+P37*6+Q37*7+R37*8+S37*9+T37*10+U37*11</f>
        <v>1049544.73057933</v>
      </c>
      <c r="V116" s="65" t="n">
        <f aca="false">V9*6+V10*8+V11*11+V12*3+V13*7+V14*10+V15*2+V16*4+V17*6+V18*8+V19*9+V20*11+V21*2+V22*4+V23*6+V24*8+V25*10+V27*2+V28*4+V29*9+IF(Assumptions!V$189&gt;=Account_Register!$O$29,V31*(11-MOD(Assumptions!V$189-Account_Register!$O$29,12)),0)+IF(Assumptions!V$189&gt;=Account_Register!$O$30,V32*(11-MOD(Assumptions!V$189-Account_Register!$O$30,12)),0)+IF(Assumptions!V$189&gt;=Account_Register!$O$31,V33*(11-MOD(Assumptions!V$189-Account_Register!$O$31,12)),0)+IF(Assumptions!V$189&gt;=Account_Register!$O$32,V34*(11-MOD(Assumptions!V$189-Account_Register!$O$32,12)),0)+IF(Assumptions!V$189&gt;=Account_Register!$O$33,V35*(11-MOD(Assumptions!V$189-Account_Register!$O$33,12)),0)+IF(Assumptions!V$189&gt;=Account_Register!$O$34,V36*(11-MOD(Assumptions!V$189-Account_Register!$O$34,12)),0)+L37*1+M37*2+N37*3+O37*4+P37*5+Q37*6+R37*7+S37*8+T37*9+U37*10+V37*11</f>
        <v>1083996.96645752</v>
      </c>
      <c r="W116" s="65" t="n">
        <f aca="false">W9*5+W10*7+W11*10+W12*2+W13*6+W14*9+W15*1+W16*3+W17*5+W18*7+W19*8+W20*10+W21*1+W22*3+W23*5+W24*7+W25*9+W26*11+W27*1+W28*3+W29*8+W30*11+IF(Assumptions!W$189&gt;=Account_Register!$O$29,W31*(11-MOD(Assumptions!W$189-Account_Register!$O$29,12)),0)+IF(Assumptions!W$189&gt;=Account_Register!$O$30,W32*(11-MOD(Assumptions!W$189-Account_Register!$O$30,12)),0)+IF(Assumptions!W$189&gt;=Account_Register!$O$31,W33*(11-MOD(Assumptions!W$189-Account_Register!$O$31,12)),0)+IF(Assumptions!W$189&gt;=Account_Register!$O$32,W34*(11-MOD(Assumptions!W$189-Account_Register!$O$32,12)),0)+IF(Assumptions!W$189&gt;=Account_Register!$O$33,W35*(11-MOD(Assumptions!W$189-Account_Register!$O$33,12)),0)+IF(Assumptions!W$189&gt;=Account_Register!$O$34,W36*(11-MOD(Assumptions!W$189-Account_Register!$O$34,12)),0)+M37*1+N37*2+O37*3+P37*4+Q37*5+R37*6+S37*7+T37*8+U37*9+V37*10+W37*11</f>
        <v>1082996.80226771</v>
      </c>
      <c r="X116" s="65" t="n">
        <f aca="false">X9*4+X10*6+X11*9+X12*1+X13*5+X14*8+X16*2+X17*4+X18*6+X19*7+X20*9+X22*2+X23*4+X24*6+X25*8+X26*10+X28*2+X29*7+X30*10+IF(Assumptions!X$189&gt;=Account_Register!$O$29,X31*(11-MOD(Assumptions!X$189-Account_Register!$O$29,12)),0)+IF(Assumptions!X$189&gt;=Account_Register!$O$30,X32*(11-MOD(Assumptions!X$189-Account_Register!$O$30,12)),0)+IF(Assumptions!X$189&gt;=Account_Register!$O$31,X33*(11-MOD(Assumptions!X$189-Account_Register!$O$31,12)),0)+IF(Assumptions!X$189&gt;=Account_Register!$O$32,X34*(11-MOD(Assumptions!X$189-Account_Register!$O$32,12)),0)+IF(Assumptions!X$189&gt;=Account_Register!$O$33,X35*(11-MOD(Assumptions!X$189-Account_Register!$O$33,12)),0)+IF(Assumptions!X$189&gt;=Account_Register!$O$34,X36*(11-MOD(Assumptions!X$189-Account_Register!$O$34,12)),0)+N37*1+O37*2+P37*3+Q37*4+R37*5+S37*6+T37*7+U37*8+V37*9+W37*10+X37*11</f>
        <v>944370.86662574</v>
      </c>
      <c r="Y116" s="65" t="n">
        <f aca="false">Y9*3+Y10*5+Y11*8+Y13*4+Y14*7+Y15*11+Y16*1+Y17*3+Y18*5+Y19*6+Y20*8+Y21*11+Y22*1+Y23*3+Y24*5+Y25*7+Y26*9+Y27*11+Y28*1+Y29*6+Y30*9+IF(Assumptions!Y$189&gt;=Account_Register!$O$29,Y31*(11-MOD(Assumptions!Y$189-Account_Register!$O$29,12)),0)+IF(Assumptions!Y$189&gt;=Account_Register!$O$30,Y32*(11-MOD(Assumptions!Y$189-Account_Register!$O$30,12)),0)+IF(Assumptions!Y$189&gt;=Account_Register!$O$31,Y33*(11-MOD(Assumptions!Y$189-Account_Register!$O$31,12)),0)+IF(Assumptions!Y$189&gt;=Account_Register!$O$32,Y34*(11-MOD(Assumptions!Y$189-Account_Register!$O$32,12)),0)+IF(Assumptions!Y$189&gt;=Account_Register!$O$33,Y35*(11-MOD(Assumptions!Y$189-Account_Register!$O$33,12)),0)+IF(Assumptions!Y$189&gt;=Account_Register!$O$34,Y36*(11-MOD(Assumptions!Y$189-Account_Register!$O$34,12)),0)+O37*1+P37*2+Q37*3+R37*4+S37*5+T37*6+U37*7+V37*8+W37*9+X37*10+Y37*11</f>
        <v>1043727.32125757</v>
      </c>
      <c r="Z116" s="65" t="n">
        <f aca="false">Z9*2+Z10*4+Z11*7+Z12*11+Z13*3+Z14*6+Z15*10+Z17*2+Z18*4+Z19*5+Z20*7+Z21*10+Z23*2+Z24*4+Z25*6+Z26*8+Z27*10+Z29*5+Z30*8+IF(Assumptions!Z$189&gt;=Account_Register!$O$29,Z31*(11-MOD(Assumptions!Z$189-Account_Register!$O$29,12)),0)+IF(Assumptions!Z$189&gt;=Account_Register!$O$30,Z32*(11-MOD(Assumptions!Z$189-Account_Register!$O$30,12)),0)+IF(Assumptions!Z$189&gt;=Account_Register!$O$31,Z33*(11-MOD(Assumptions!Z$189-Account_Register!$O$31,12)),0)+IF(Assumptions!Z$189&gt;=Account_Register!$O$32,Z34*(11-MOD(Assumptions!Z$189-Account_Register!$O$32,12)),0)+IF(Assumptions!Z$189&gt;=Account_Register!$O$33,Z35*(11-MOD(Assumptions!Z$189-Account_Register!$O$33,12)),0)+IF(Assumptions!Z$189&gt;=Account_Register!$O$34,Z36*(11-MOD(Assumptions!Z$189-Account_Register!$O$34,12)),0)+P37*1+Q37*2+R37*3+S37*4+T37*5+U37*6+V37*7+W37*8+X37*9+Y37*10+Z37*11</f>
        <v>995656.741704286</v>
      </c>
      <c r="AA116" s="65" t="n">
        <f aca="false">AA9*1+AA10*3+AA11*6+AA12*10+AA13*2+AA14*5+AA15*9+AA16*11+AA17*1+AA18*3+AA19*4+AA20*6+AA21*9+AA22*11+AA23*1+AA24*3+AA25*5+AA26*7+AA27*9+AA28*11+AA29*4+AA30*7+IF(Assumptions!AA$189&gt;=Account_Register!$O$29,AA31*(11-MOD(Assumptions!AA$189-Account_Register!$O$29,12)),0)+IF(Assumptions!AA$189&gt;=Account_Register!$O$30,AA32*(11-MOD(Assumptions!AA$189-Account_Register!$O$30,12)),0)+IF(Assumptions!AA$189&gt;=Account_Register!$O$31,AA33*(11-MOD(Assumptions!AA$189-Account_Register!$O$31,12)),0)+IF(Assumptions!AA$189&gt;=Account_Register!$O$32,AA34*(11-MOD(Assumptions!AA$189-Account_Register!$O$32,12)),0)+IF(Assumptions!AA$189&gt;=Account_Register!$O$33,AA35*(11-MOD(Assumptions!AA$189-Account_Register!$O$33,12)),0)+IF(Assumptions!AA$189&gt;=Account_Register!$O$34,AA36*(11-MOD(Assumptions!AA$189-Account_Register!$O$34,12)),0)+Q37*1+R37*2+S37*3+T37*4+U37*5+V37*6+W37*7+X37*8+Y37*9+Z37*10+AA37*11</f>
        <v>1107328.89485537</v>
      </c>
      <c r="AB116" s="65" t="n">
        <f aca="false">AB10*2+AB11*5+AB12*9+AB13*1+AB14*4+AB15*8+AB16*10+AB18*2+AB19*3+AB20*5+AB21*8+AB22*10+AB24*2+AB25*4+AB26*6+AB27*8+AB28*10+AB29*3+AB30*6+IF(Assumptions!AB$189&gt;=Account_Register!$O$29,AB31*(11-MOD(Assumptions!AB$189-Account_Register!$O$29,12)),0)+IF(Assumptions!AB$189&gt;=Account_Register!$O$30,AB32*(11-MOD(Assumptions!AB$189-Account_Register!$O$30,12)),0)+IF(Assumptions!AB$189&gt;=Account_Register!$O$31,AB33*(11-MOD(Assumptions!AB$189-Account_Register!$O$31,12)),0)+IF(Assumptions!AB$189&gt;=Account_Register!$O$32,AB34*(11-MOD(Assumptions!AB$189-Account_Register!$O$32,12)),0)+IF(Assumptions!AB$189&gt;=Account_Register!$O$33,AB35*(11-MOD(Assumptions!AB$189-Account_Register!$O$33,12)),0)+IF(Assumptions!AB$189&gt;=Account_Register!$O$34,AB36*(11-MOD(Assumptions!AB$189-Account_Register!$O$34,12)),0)+R37*1+S37*2+T37*3+U37*4+V37*5+W37*6+X37*7+Y37*8+Z37*9+AA37*10+AB37*11</f>
        <v>1009087.22871345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1048</v>
      </c>
    </row>
    <row r="3" customFormat="false" ht="15" hidden="false" customHeight="false" outlineLevel="0" collapsed="false">
      <c r="A3" s="50" t="s">
        <v>1049</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1050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732</v>
      </c>
      <c r="B9" s="63" t="s">
        <v>1051</v>
      </c>
      <c r="C9" s="68" t="n">
        <f aca="false">SUM(E9:P9)</f>
        <v>361.126</v>
      </c>
      <c r="D9" s="68" t="n">
        <f aca="false">SUM(Q9:AB9)</f>
        <v>360</v>
      </c>
      <c r="E9" s="69" t="n">
        <f aca="false">IF(E$5="A",Inputs_Actuals!E195,Assumptions!$C$120*Assumptions!E$197*Assumptions!$F$166)</f>
        <v>31</v>
      </c>
      <c r="F9" s="69" t="n">
        <f aca="false">IF(F$5="A",Inputs_Actuals!F195,Assumptions!$C$120*Assumptions!F$197*Assumptions!$F$166)</f>
        <v>35</v>
      </c>
      <c r="G9" s="69" t="n">
        <f aca="false">IF(G$5="A",Inputs_Actuals!G195,Assumptions!$C$120*Assumptions!G$197*Assumptions!$F$166)</f>
        <v>35</v>
      </c>
      <c r="H9" s="69" t="n">
        <f aca="false">IF(H$5="A",Inputs_Actuals!H195,Assumptions!$C$120*Assumptions!H$197*Assumptions!$F$166)</f>
        <v>29</v>
      </c>
      <c r="I9" s="69" t="n">
        <f aca="false">IF(I$5="A",Inputs_Actuals!I195,Assumptions!$C$120*Assumptions!I$197*Assumptions!$F$166)</f>
        <v>21</v>
      </c>
      <c r="J9" s="69" t="n">
        <f aca="false">IF(J$5="A",Inputs_Actuals!J195,Assumptions!$C$120*Assumptions!J$197*Assumptions!$F$166)</f>
        <v>32</v>
      </c>
      <c r="K9" s="69" t="n">
        <f aca="false">IF(K$5="A",Inputs_Actuals!K195,Assumptions!$C$120*Assumptions!K$197*Assumptions!$F$166)</f>
        <v>34</v>
      </c>
      <c r="L9" s="69" t="n">
        <f aca="false">IF(L$5="A",Inputs_Actuals!L195,Assumptions!$C$120*Assumptions!L$197*Assumptions!$F$166)</f>
        <v>21</v>
      </c>
      <c r="M9" s="69" t="n">
        <f aca="false">IF(M$5="A",Inputs_Actuals!M195,Assumptions!$C$120*Assumptions!M$197*Assumptions!$F$166)</f>
        <v>32.673</v>
      </c>
      <c r="N9" s="69" t="n">
        <f aca="false">IF(N$5="A",Inputs_Actuals!N195,Assumptions!$C$120*Assumptions!N$197*Assumptions!$F$166)</f>
        <v>33.882</v>
      </c>
      <c r="O9" s="69" t="n">
        <f aca="false">IF(O$5="A",Inputs_Actuals!O195,Assumptions!$C$120*Assumptions!O$197*Assumptions!$F$166)</f>
        <v>30.858</v>
      </c>
      <c r="P9" s="69" t="n">
        <f aca="false">IF(P$5="A",Inputs_Actuals!P195,Assumptions!$C$120*Assumptions!P$197*Assumptions!$F$166)</f>
        <v>25.713</v>
      </c>
      <c r="Q9" s="69" t="n">
        <f aca="false">IF(Q$5="A",Inputs_Actuals!Q195,Assumptions!$C$120*Assumptions!Q$197*Assumptions!$F$166)</f>
        <v>36.909</v>
      </c>
      <c r="R9" s="69" t="n">
        <f aca="false">IF(R$5="A",Inputs_Actuals!R195,Assumptions!$C$120*Assumptions!R$197*Assumptions!$F$166)</f>
        <v>32.673</v>
      </c>
      <c r="S9" s="69" t="n">
        <f aca="false">IF(S$5="A",Inputs_Actuals!S195,Assumptions!$C$120*Assumptions!S$197*Assumptions!$F$166)</f>
        <v>31.764</v>
      </c>
      <c r="T9" s="69" t="n">
        <f aca="false">IF(T$5="A",Inputs_Actuals!T195,Assumptions!$C$120*Assumptions!T$197*Assumptions!$F$166)</f>
        <v>30.252</v>
      </c>
      <c r="U9" s="69" t="n">
        <f aca="false">IF(U$5="A",Inputs_Actuals!U195,Assumptions!$C$120*Assumptions!U$197*Assumptions!$F$166)</f>
        <v>30.252</v>
      </c>
      <c r="V9" s="69" t="n">
        <f aca="false">IF(V$5="A",Inputs_Actuals!V195,Assumptions!$C$120*Assumptions!V$197*Assumptions!$F$166)</f>
        <v>28.74</v>
      </c>
      <c r="W9" s="69" t="n">
        <f aca="false">IF(W$5="A",Inputs_Actuals!W195,Assumptions!$C$120*Assumptions!W$197*Assumptions!$F$166)</f>
        <v>25.713</v>
      </c>
      <c r="X9" s="69" t="n">
        <f aca="false">IF(X$5="A",Inputs_Actuals!X195,Assumptions!$C$120*Assumptions!X$197*Assumptions!$F$166)</f>
        <v>20.571</v>
      </c>
      <c r="Y9" s="69" t="n">
        <f aca="false">IF(Y$5="A",Inputs_Actuals!Y195,Assumptions!$C$120*Assumptions!Y$197*Assumptions!$F$166)</f>
        <v>32.673</v>
      </c>
      <c r="Z9" s="69" t="n">
        <f aca="false">IF(Z$5="A",Inputs_Actuals!Z195,Assumptions!$C$120*Assumptions!Z$197*Assumptions!$F$166)</f>
        <v>33.882</v>
      </c>
      <c r="AA9" s="69" t="n">
        <f aca="false">IF(AA$5="A",Inputs_Actuals!AA195,Assumptions!$C$120*Assumptions!AA$197*Assumptions!$F$166)</f>
        <v>30.858</v>
      </c>
      <c r="AB9" s="69" t="n">
        <f aca="false">IF(AB$5="A",Inputs_Actuals!AB195,Assumptions!$C$120*Assumptions!AB$197*Assumptions!$F$166)</f>
        <v>25.713</v>
      </c>
    </row>
    <row r="10" customFormat="false" ht="15" hidden="false" customHeight="false" outlineLevel="0" collapsed="false">
      <c r="A10" s="28" t="s">
        <v>1052</v>
      </c>
      <c r="B10" s="63" t="s">
        <v>1053</v>
      </c>
      <c r="C10" s="122" t="n">
        <f aca="false">AVERAGE(E10:P10)</f>
        <v>204.559444432614</v>
      </c>
      <c r="D10" s="122" t="n">
        <f aca="false">AVERAGE(Q10:AB10)</f>
        <v>217.35</v>
      </c>
      <c r="E10" s="123" t="n">
        <f aca="false">IF(E$5="A",IF(Inputs_Actuals!E195=0,0,Inputs_Actuals!E190/Inputs_Actuals!E195),Assumptions!$C$121*Assumptions!E$201)</f>
        <v>198.949032258065</v>
      </c>
      <c r="F10" s="123" t="n">
        <f aca="false">IF(F$5="A",IF(Inputs_Actuals!F195=0,0,Inputs_Actuals!F190/Inputs_Actuals!F195),Assumptions!$C$121*Assumptions!F$201)</f>
        <v>201.268571428571</v>
      </c>
      <c r="G10" s="123" t="n">
        <f aca="false">IF(G$5="A",IF(Inputs_Actuals!G195=0,0,Inputs_Actuals!G190/Inputs_Actuals!G195),Assumptions!$C$121*Assumptions!G$201)</f>
        <v>198.234857142857</v>
      </c>
      <c r="H10" s="123" t="n">
        <f aca="false">IF(H$5="A",IF(Inputs_Actuals!H195=0,0,Inputs_Actuals!H190/Inputs_Actuals!H195),Assumptions!$C$121*Assumptions!H$201)</f>
        <v>200.412068965517</v>
      </c>
      <c r="I10" s="123" t="n">
        <f aca="false">IF(I$5="A",IF(Inputs_Actuals!I195=0,0,Inputs_Actuals!I190/Inputs_Actuals!I195),Assumptions!$C$121*Assumptions!I$201)</f>
        <v>214.282857142857</v>
      </c>
      <c r="J10" s="123" t="n">
        <f aca="false">IF(J$5="A",IF(Inputs_Actuals!J195=0,0,Inputs_Actuals!J190/Inputs_Actuals!J195),Assumptions!$C$121*Assumptions!J$201)</f>
        <v>207.5915625</v>
      </c>
      <c r="K10" s="123" t="n">
        <f aca="false">IF(K$5="A",IF(Inputs_Actuals!K195=0,0,Inputs_Actuals!K190/Inputs_Actuals!K195),Assumptions!$C$121*Assumptions!K$201)</f>
        <v>196.486764705882</v>
      </c>
      <c r="L10" s="123" t="n">
        <f aca="false">IF(L$5="A",IF(Inputs_Actuals!L195=0,0,Inputs_Actuals!L190/Inputs_Actuals!L195),Assumptions!$C$121*Assumptions!L$201)</f>
        <v>209.487619047619</v>
      </c>
      <c r="M10" s="123" t="n">
        <f aca="false">IF(M$5="A",IF(Inputs_Actuals!M195=0,0,Inputs_Actuals!M190/Inputs_Actuals!M195),Assumptions!$C$121*Assumptions!M$201)</f>
        <v>207</v>
      </c>
      <c r="N10" s="123" t="n">
        <f aca="false">IF(N$5="A",IF(Inputs_Actuals!N195=0,0,Inputs_Actuals!N190/Inputs_Actuals!N195),Assumptions!$C$121*Assumptions!N$201)</f>
        <v>207</v>
      </c>
      <c r="O10" s="123" t="n">
        <f aca="false">IF(O$5="A",IF(Inputs_Actuals!O195=0,0,Inputs_Actuals!O190/Inputs_Actuals!O195),Assumptions!$C$121*Assumptions!O$201)</f>
        <v>207</v>
      </c>
      <c r="P10" s="123" t="n">
        <f aca="false">IF(P$5="A",IF(Inputs_Actuals!P195=0,0,Inputs_Actuals!P190/Inputs_Actuals!P195),Assumptions!$C$121*Assumptions!P$201)</f>
        <v>207</v>
      </c>
      <c r="Q10" s="123" t="n">
        <f aca="false">IF(Q$5="A",IF(Inputs_Actuals!Q195=0,0,Inputs_Actuals!Q190/Inputs_Actuals!Q195),Assumptions!$C$121*Assumptions!Q$201)</f>
        <v>217.35</v>
      </c>
      <c r="R10" s="123" t="n">
        <f aca="false">IF(R$5="A",IF(Inputs_Actuals!R195=0,0,Inputs_Actuals!R190/Inputs_Actuals!R195),Assumptions!$C$121*Assumptions!R$201)</f>
        <v>217.35</v>
      </c>
      <c r="S10" s="123" t="n">
        <f aca="false">IF(S$5="A",IF(Inputs_Actuals!S195=0,0,Inputs_Actuals!S190/Inputs_Actuals!S195),Assumptions!$C$121*Assumptions!S$201)</f>
        <v>217.35</v>
      </c>
      <c r="T10" s="123" t="n">
        <f aca="false">IF(T$5="A",IF(Inputs_Actuals!T195=0,0,Inputs_Actuals!T190/Inputs_Actuals!T195),Assumptions!$C$121*Assumptions!T$201)</f>
        <v>217.35</v>
      </c>
      <c r="U10" s="123" t="n">
        <f aca="false">IF(U$5="A",IF(Inputs_Actuals!U195=0,0,Inputs_Actuals!U190/Inputs_Actuals!U195),Assumptions!$C$121*Assumptions!U$201)</f>
        <v>217.35</v>
      </c>
      <c r="V10" s="123" t="n">
        <f aca="false">IF(V$5="A",IF(Inputs_Actuals!V195=0,0,Inputs_Actuals!V190/Inputs_Actuals!V195),Assumptions!$C$121*Assumptions!V$201)</f>
        <v>217.35</v>
      </c>
      <c r="W10" s="123" t="n">
        <f aca="false">IF(W$5="A",IF(Inputs_Actuals!W195=0,0,Inputs_Actuals!W190/Inputs_Actuals!W195),Assumptions!$C$121*Assumptions!W$201)</f>
        <v>217.35</v>
      </c>
      <c r="X10" s="123" t="n">
        <f aca="false">IF(X$5="A",IF(Inputs_Actuals!X195=0,0,Inputs_Actuals!X190/Inputs_Actuals!X195),Assumptions!$C$121*Assumptions!X$201)</f>
        <v>217.35</v>
      </c>
      <c r="Y10" s="123" t="n">
        <f aca="false">IF(Y$5="A",IF(Inputs_Actuals!Y195=0,0,Inputs_Actuals!Y190/Inputs_Actuals!Y195),Assumptions!$C$121*Assumptions!Y$201)</f>
        <v>217.35</v>
      </c>
      <c r="Z10" s="123" t="n">
        <f aca="false">IF(Z$5="A",IF(Inputs_Actuals!Z195=0,0,Inputs_Actuals!Z190/Inputs_Actuals!Z195),Assumptions!$C$121*Assumptions!Z$201)</f>
        <v>217.35</v>
      </c>
      <c r="AA10" s="123" t="n">
        <f aca="false">IF(AA$5="A",IF(Inputs_Actuals!AA195=0,0,Inputs_Actuals!AA190/Inputs_Actuals!AA195),Assumptions!$C$121*Assumptions!AA$201)</f>
        <v>217.35</v>
      </c>
      <c r="AB10" s="123" t="n">
        <f aca="false">IF(AB$5="A",IF(Inputs_Actuals!AB195=0,0,Inputs_Actuals!AB190/Inputs_Actuals!AB195),Assumptions!$C$121*Assumptions!AB$201)</f>
        <v>217.35</v>
      </c>
    </row>
    <row r="11" customFormat="false" ht="15" hidden="false" customHeight="false" outlineLevel="0" collapsed="false">
      <c r="A11" s="28" t="s">
        <v>804</v>
      </c>
      <c r="B11" s="63"/>
      <c r="C11" s="64" t="n">
        <f aca="false">SUM(E11:P11)</f>
        <v>73671.732</v>
      </c>
      <c r="D11" s="64" t="n">
        <f aca="false">SUM(Q11:AB11)</f>
        <v>78246</v>
      </c>
      <c r="E11" s="65" t="n">
        <f aca="false">IF(E$5="A",Inputs_Actuals!E190,E9*E10)</f>
        <v>6167.42</v>
      </c>
      <c r="F11" s="65" t="n">
        <f aca="false">IF(F$5="A",Inputs_Actuals!F190,F9*F10)</f>
        <v>7044.4</v>
      </c>
      <c r="G11" s="65" t="n">
        <f aca="false">IF(G$5="A",Inputs_Actuals!G190,G9*G10)</f>
        <v>6938.22</v>
      </c>
      <c r="H11" s="65" t="n">
        <f aca="false">IF(H$5="A",Inputs_Actuals!H190,H9*H10)</f>
        <v>5811.95</v>
      </c>
      <c r="I11" s="65" t="n">
        <f aca="false">IF(I$5="A",Inputs_Actuals!I190,I9*I10)</f>
        <v>4499.94</v>
      </c>
      <c r="J11" s="65" t="n">
        <f aca="false">IF(J$5="A",Inputs_Actuals!J190,J9*J10)</f>
        <v>6642.93</v>
      </c>
      <c r="K11" s="65" t="n">
        <f aca="false">IF(K$5="A",Inputs_Actuals!K190,K9*K10)</f>
        <v>6680.55</v>
      </c>
      <c r="L11" s="65" t="n">
        <f aca="false">IF(L$5="A",Inputs_Actuals!L190,L9*L10)</f>
        <v>4399.24</v>
      </c>
      <c r="M11" s="65" t="n">
        <f aca="false">IF(M$5="A",Inputs_Actuals!M190,M9*M10)</f>
        <v>6763.311</v>
      </c>
      <c r="N11" s="65" t="n">
        <f aca="false">IF(N$5="A",Inputs_Actuals!N190,N9*N10)</f>
        <v>7013.574</v>
      </c>
      <c r="O11" s="65" t="n">
        <f aca="false">IF(O$5="A",Inputs_Actuals!O190,O9*O10)</f>
        <v>6387.606</v>
      </c>
      <c r="P11" s="65" t="n">
        <f aca="false">IF(P$5="A",Inputs_Actuals!P190,P9*P10)</f>
        <v>5322.591</v>
      </c>
      <c r="Q11" s="65" t="n">
        <f aca="false">IF(Q$5="A",Inputs_Actuals!Q190,Q9*Q10)</f>
        <v>8022.17115</v>
      </c>
      <c r="R11" s="65" t="n">
        <f aca="false">IF(R$5="A",Inputs_Actuals!R190,R9*R10)</f>
        <v>7101.47655</v>
      </c>
      <c r="S11" s="65" t="n">
        <f aca="false">IF(S$5="A",Inputs_Actuals!S190,S9*S10)</f>
        <v>6903.9054</v>
      </c>
      <c r="T11" s="65" t="n">
        <f aca="false">IF(T$5="A",Inputs_Actuals!T190,T9*T10)</f>
        <v>6575.2722</v>
      </c>
      <c r="U11" s="65" t="n">
        <f aca="false">IF(U$5="A",Inputs_Actuals!U190,U9*U10)</f>
        <v>6575.2722</v>
      </c>
      <c r="V11" s="65" t="n">
        <f aca="false">IF(V$5="A",Inputs_Actuals!V190,V9*V10)</f>
        <v>6246.639</v>
      </c>
      <c r="W11" s="65" t="n">
        <f aca="false">IF(W$5="A",Inputs_Actuals!W190,W9*W10)</f>
        <v>5588.72055</v>
      </c>
      <c r="X11" s="65" t="n">
        <f aca="false">IF(X$5="A",Inputs_Actuals!X190,X9*X10)</f>
        <v>4471.10685</v>
      </c>
      <c r="Y11" s="65" t="n">
        <f aca="false">IF(Y$5="A",Inputs_Actuals!Y190,Y9*Y10)</f>
        <v>7101.47655</v>
      </c>
      <c r="Z11" s="65" t="n">
        <f aca="false">IF(Z$5="A",Inputs_Actuals!Z190,Z9*Z10)</f>
        <v>7364.2527</v>
      </c>
      <c r="AA11" s="65" t="n">
        <f aca="false">IF(AA$5="A",Inputs_Actuals!AA190,AA9*AA10)</f>
        <v>6706.9863</v>
      </c>
      <c r="AB11" s="65" t="n">
        <f aca="false">IF(AB$5="A",Inputs_Actuals!AB190,AB9*AB10)</f>
        <v>5588.72055</v>
      </c>
    </row>
    <row r="12" customFormat="false" ht="15" hidden="false" customHeight="false" outlineLevel="0" collapsed="false">
      <c r="A12" s="22" t="s">
        <v>1054</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customFormat="false" ht="15" hidden="false" customHeight="false" outlineLevel="0" collapsed="false">
      <c r="A13" s="28" t="s">
        <v>732</v>
      </c>
      <c r="B13" s="63" t="s">
        <v>1051</v>
      </c>
      <c r="C13" s="68" t="n">
        <f aca="false">SUM(E13:P13)</f>
        <v>57.82722</v>
      </c>
      <c r="D13" s="68" t="n">
        <f aca="false">SUM(Q13:AB13)</f>
        <v>49.2</v>
      </c>
      <c r="E13" s="69" t="n">
        <f aca="false">IF(E$5="A",Inputs_Actuals!E202,Assumptions!$C$131*Assumptions!E$197*Assumptions!$F$167)</f>
        <v>9</v>
      </c>
      <c r="F13" s="69" t="n">
        <f aca="false">IF(F$5="A",Inputs_Actuals!F202,Assumptions!$C$131*Assumptions!F$197*Assumptions!$F$167)</f>
        <v>4</v>
      </c>
      <c r="G13" s="69" t="n">
        <f aca="false">IF(G$5="A",Inputs_Actuals!G202,Assumptions!$C$131*Assumptions!G$197*Assumptions!$F$167)</f>
        <v>7</v>
      </c>
      <c r="H13" s="69" t="n">
        <f aca="false">IF(H$5="A",Inputs_Actuals!H202,Assumptions!$C$131*Assumptions!H$197*Assumptions!$F$167)</f>
        <v>5</v>
      </c>
      <c r="I13" s="69" t="n">
        <f aca="false">IF(I$5="A",Inputs_Actuals!I202,Assumptions!$C$131*Assumptions!I$197*Assumptions!$F$167)</f>
        <v>3</v>
      </c>
      <c r="J13" s="69" t="n">
        <f aca="false">IF(J$5="A",Inputs_Actuals!J202,Assumptions!$C$131*Assumptions!J$197*Assumptions!$F$167)</f>
        <v>4</v>
      </c>
      <c r="K13" s="69" t="n">
        <f aca="false">IF(K$5="A",Inputs_Actuals!K202,Assumptions!$C$131*Assumptions!K$197*Assumptions!$F$167)</f>
        <v>4</v>
      </c>
      <c r="L13" s="69" t="n">
        <f aca="false">IF(L$5="A",Inputs_Actuals!L202,Assumptions!$C$131*Assumptions!L$197*Assumptions!$F$167)</f>
        <v>5</v>
      </c>
      <c r="M13" s="69" t="n">
        <f aca="false">IF(M$5="A",Inputs_Actuals!M202,Assumptions!$C$131*Assumptions!M$197*Assumptions!$F$167)</f>
        <v>4.46531</v>
      </c>
      <c r="N13" s="69" t="n">
        <f aca="false">IF(N$5="A",Inputs_Actuals!N202,Assumptions!$C$131*Assumptions!N$197*Assumptions!$F$167)</f>
        <v>4.63054</v>
      </c>
      <c r="O13" s="69" t="n">
        <f aca="false">IF(O$5="A",Inputs_Actuals!O202,Assumptions!$C$131*Assumptions!O$197*Assumptions!$F$167)</f>
        <v>4.21726</v>
      </c>
      <c r="P13" s="69" t="n">
        <f aca="false">IF(P$5="A",Inputs_Actuals!P202,Assumptions!$C$131*Assumptions!P$197*Assumptions!$F$167)</f>
        <v>3.51411</v>
      </c>
      <c r="Q13" s="69" t="n">
        <f aca="false">IF(Q$5="A",Inputs_Actuals!Q202,Assumptions!$C$131*Assumptions!Q$197*Assumptions!$F$167)</f>
        <v>5.04423</v>
      </c>
      <c r="R13" s="69" t="n">
        <f aca="false">IF(R$5="A",Inputs_Actuals!R202,Assumptions!$C$131*Assumptions!R$197*Assumptions!$F$167)</f>
        <v>4.46531</v>
      </c>
      <c r="S13" s="69" t="n">
        <f aca="false">IF(S$5="A",Inputs_Actuals!S202,Assumptions!$C$131*Assumptions!S$197*Assumptions!$F$167)</f>
        <v>4.34108</v>
      </c>
      <c r="T13" s="69" t="n">
        <f aca="false">IF(T$5="A",Inputs_Actuals!T202,Assumptions!$C$131*Assumptions!T$197*Assumptions!$F$167)</f>
        <v>4.13444</v>
      </c>
      <c r="U13" s="69" t="n">
        <f aca="false">IF(U$5="A",Inputs_Actuals!U202,Assumptions!$C$131*Assumptions!U$197*Assumptions!$F$167)</f>
        <v>4.13444</v>
      </c>
      <c r="V13" s="69" t="n">
        <f aca="false">IF(V$5="A",Inputs_Actuals!V202,Assumptions!$C$131*Assumptions!V$197*Assumptions!$F$167)</f>
        <v>3.9278</v>
      </c>
      <c r="W13" s="69" t="n">
        <f aca="false">IF(W$5="A",Inputs_Actuals!W202,Assumptions!$C$131*Assumptions!W$197*Assumptions!$F$167)</f>
        <v>3.51411</v>
      </c>
      <c r="X13" s="69" t="n">
        <f aca="false">IF(X$5="A",Inputs_Actuals!X202,Assumptions!$C$131*Assumptions!X$197*Assumptions!$F$167)</f>
        <v>2.81137</v>
      </c>
      <c r="Y13" s="69" t="n">
        <f aca="false">IF(Y$5="A",Inputs_Actuals!Y202,Assumptions!$C$131*Assumptions!Y$197*Assumptions!$F$167)</f>
        <v>4.46531</v>
      </c>
      <c r="Z13" s="69" t="n">
        <f aca="false">IF(Z$5="A",Inputs_Actuals!Z202,Assumptions!$C$131*Assumptions!Z$197*Assumptions!$F$167)</f>
        <v>4.63054</v>
      </c>
      <c r="AA13" s="69" t="n">
        <f aca="false">IF(AA$5="A",Inputs_Actuals!AA202,Assumptions!$C$131*Assumptions!AA$197*Assumptions!$F$167)</f>
        <v>4.21726</v>
      </c>
      <c r="AB13" s="69" t="n">
        <f aca="false">IF(AB$5="A",Inputs_Actuals!AB202,Assumptions!$C$131*Assumptions!AB$197*Assumptions!$F$167)</f>
        <v>3.51411</v>
      </c>
    </row>
    <row r="14" customFormat="false" ht="15" hidden="false" customHeight="false" outlineLevel="0" collapsed="false">
      <c r="A14" s="28" t="s">
        <v>1052</v>
      </c>
      <c r="B14" s="63" t="s">
        <v>1053</v>
      </c>
      <c r="C14" s="122" t="n">
        <f aca="false">AVERAGE(E14:P14)</f>
        <v>978.163570767196</v>
      </c>
      <c r="D14" s="122" t="n">
        <f aca="false">AVERAGE(Q14:AB14)</f>
        <v>1013.25</v>
      </c>
      <c r="E14" s="123" t="n">
        <f aca="false">IF(E$5="A",IF(Inputs_Actuals!E202=0,0,Inputs_Actuals!E197/Inputs_Actuals!E202),Assumptions!$C$132*Assumptions!E$201)</f>
        <v>941.927777777778</v>
      </c>
      <c r="F14" s="123" t="n">
        <f aca="false">IF(F$5="A",IF(Inputs_Actuals!F202=0,0,Inputs_Actuals!F197/Inputs_Actuals!F202),Assumptions!$C$132*Assumptions!F$201)</f>
        <v>1015.4675</v>
      </c>
      <c r="G14" s="123" t="n">
        <f aca="false">IF(G$5="A",IF(Inputs_Actuals!G202=0,0,Inputs_Actuals!G197/Inputs_Actuals!G202),Assumptions!$C$132*Assumptions!G$201)</f>
        <v>1004.62857142857</v>
      </c>
      <c r="H14" s="123" t="n">
        <f aca="false">IF(H$5="A",IF(Inputs_Actuals!H202=0,0,Inputs_Actuals!H197/Inputs_Actuals!H202),Assumptions!$C$132*Assumptions!H$201)</f>
        <v>922.418</v>
      </c>
      <c r="I14" s="123" t="n">
        <f aca="false">IF(I$5="A",IF(Inputs_Actuals!I202=0,0,Inputs_Actuals!I197/Inputs_Actuals!I202),Assumptions!$C$132*Assumptions!I$201)</f>
        <v>976.68</v>
      </c>
      <c r="J14" s="123" t="n">
        <f aca="false">IF(J$5="A",IF(Inputs_Actuals!J202=0,0,Inputs_Actuals!J197/Inputs_Actuals!J202),Assumptions!$C$132*Assumptions!J$201)</f>
        <v>1035.8525</v>
      </c>
      <c r="K14" s="123" t="n">
        <f aca="false">IF(K$5="A",IF(Inputs_Actuals!K202=0,0,Inputs_Actuals!K197/Inputs_Actuals!K202),Assumptions!$C$132*Assumptions!K$201)</f>
        <v>1032.7025</v>
      </c>
      <c r="L14" s="123" t="n">
        <f aca="false">IF(L$5="A",IF(Inputs_Actuals!L202=0,0,Inputs_Actuals!L197/Inputs_Actuals!L202),Assumptions!$C$132*Assumptions!L$201)</f>
        <v>948.286</v>
      </c>
      <c r="M14" s="123" t="n">
        <f aca="false">IF(M$5="A",IF(Inputs_Actuals!M202=0,0,Inputs_Actuals!M197/Inputs_Actuals!M202),Assumptions!$C$132*Assumptions!M$201)</f>
        <v>965</v>
      </c>
      <c r="N14" s="123" t="n">
        <f aca="false">IF(N$5="A",IF(Inputs_Actuals!N202=0,0,Inputs_Actuals!N197/Inputs_Actuals!N202),Assumptions!$C$132*Assumptions!N$201)</f>
        <v>965</v>
      </c>
      <c r="O14" s="123" t="n">
        <f aca="false">IF(O$5="A",IF(Inputs_Actuals!O202=0,0,Inputs_Actuals!O197/Inputs_Actuals!O202),Assumptions!$C$132*Assumptions!O$201)</f>
        <v>965</v>
      </c>
      <c r="P14" s="123" t="n">
        <f aca="false">IF(P$5="A",IF(Inputs_Actuals!P202=0,0,Inputs_Actuals!P197/Inputs_Actuals!P202),Assumptions!$C$132*Assumptions!P$201)</f>
        <v>965</v>
      </c>
      <c r="Q14" s="123" t="n">
        <f aca="false">IF(Q$5="A",IF(Inputs_Actuals!Q202=0,0,Inputs_Actuals!Q197/Inputs_Actuals!Q202),Assumptions!$C$132*Assumptions!Q$201)</f>
        <v>1013.25</v>
      </c>
      <c r="R14" s="123" t="n">
        <f aca="false">IF(R$5="A",IF(Inputs_Actuals!R202=0,0,Inputs_Actuals!R197/Inputs_Actuals!R202),Assumptions!$C$132*Assumptions!R$201)</f>
        <v>1013.25</v>
      </c>
      <c r="S14" s="123" t="n">
        <f aca="false">IF(S$5="A",IF(Inputs_Actuals!S202=0,0,Inputs_Actuals!S197/Inputs_Actuals!S202),Assumptions!$C$132*Assumptions!S$201)</f>
        <v>1013.25</v>
      </c>
      <c r="T14" s="123" t="n">
        <f aca="false">IF(T$5="A",IF(Inputs_Actuals!T202=0,0,Inputs_Actuals!T197/Inputs_Actuals!T202),Assumptions!$C$132*Assumptions!T$201)</f>
        <v>1013.25</v>
      </c>
      <c r="U14" s="123" t="n">
        <f aca="false">IF(U$5="A",IF(Inputs_Actuals!U202=0,0,Inputs_Actuals!U197/Inputs_Actuals!U202),Assumptions!$C$132*Assumptions!U$201)</f>
        <v>1013.25</v>
      </c>
      <c r="V14" s="123" t="n">
        <f aca="false">IF(V$5="A",IF(Inputs_Actuals!V202=0,0,Inputs_Actuals!V197/Inputs_Actuals!V202),Assumptions!$C$132*Assumptions!V$201)</f>
        <v>1013.25</v>
      </c>
      <c r="W14" s="123" t="n">
        <f aca="false">IF(W$5="A",IF(Inputs_Actuals!W202=0,0,Inputs_Actuals!W197/Inputs_Actuals!W202),Assumptions!$C$132*Assumptions!W$201)</f>
        <v>1013.25</v>
      </c>
      <c r="X14" s="123" t="n">
        <f aca="false">IF(X$5="A",IF(Inputs_Actuals!X202=0,0,Inputs_Actuals!X197/Inputs_Actuals!X202),Assumptions!$C$132*Assumptions!X$201)</f>
        <v>1013.25</v>
      </c>
      <c r="Y14" s="123" t="n">
        <f aca="false">IF(Y$5="A",IF(Inputs_Actuals!Y202=0,0,Inputs_Actuals!Y197/Inputs_Actuals!Y202),Assumptions!$C$132*Assumptions!Y$201)</f>
        <v>1013.25</v>
      </c>
      <c r="Z14" s="123" t="n">
        <f aca="false">IF(Z$5="A",IF(Inputs_Actuals!Z202=0,0,Inputs_Actuals!Z197/Inputs_Actuals!Z202),Assumptions!$C$132*Assumptions!Z$201)</f>
        <v>1013.25</v>
      </c>
      <c r="AA14" s="123" t="n">
        <f aca="false">IF(AA$5="A",IF(Inputs_Actuals!AA202=0,0,Inputs_Actuals!AA197/Inputs_Actuals!AA202),Assumptions!$C$132*Assumptions!AA$201)</f>
        <v>1013.25</v>
      </c>
      <c r="AB14" s="123" t="n">
        <f aca="false">IF(AB$5="A",IF(Inputs_Actuals!AB202=0,0,Inputs_Actuals!AB197/Inputs_Actuals!AB202),Assumptions!$C$132*Assumptions!AB$201)</f>
        <v>1013.25</v>
      </c>
    </row>
    <row r="15" customFormat="false" ht="15" hidden="false" customHeight="false" outlineLevel="0" collapsed="false">
      <c r="A15" s="28" t="s">
        <v>804</v>
      </c>
      <c r="B15" s="63"/>
      <c r="C15" s="64" t="n">
        <f aca="false">SUM(E15:P15)</f>
        <v>56367.6673</v>
      </c>
      <c r="D15" s="64" t="n">
        <f aca="false">SUM(Q15:AB15)</f>
        <v>49851.9</v>
      </c>
      <c r="E15" s="65" t="n">
        <f aca="false">IF(E$5="A",Inputs_Actuals!E197,E13*E14)</f>
        <v>8477.35</v>
      </c>
      <c r="F15" s="65" t="n">
        <f aca="false">IF(F$5="A",Inputs_Actuals!F197,F13*F14)</f>
        <v>4061.87</v>
      </c>
      <c r="G15" s="65" t="n">
        <f aca="false">IF(G$5="A",Inputs_Actuals!G197,G13*G14)</f>
        <v>7032.4</v>
      </c>
      <c r="H15" s="65" t="n">
        <f aca="false">IF(H$5="A",Inputs_Actuals!H197,H13*H14)</f>
        <v>4612.09</v>
      </c>
      <c r="I15" s="65" t="n">
        <f aca="false">IF(I$5="A",Inputs_Actuals!I197,I13*I14)</f>
        <v>2930.04</v>
      </c>
      <c r="J15" s="65" t="n">
        <f aca="false">IF(J$5="A",Inputs_Actuals!J197,J13*J14)</f>
        <v>4143.41</v>
      </c>
      <c r="K15" s="65" t="n">
        <f aca="false">IF(K$5="A",Inputs_Actuals!K197,K13*K14)</f>
        <v>4130.81</v>
      </c>
      <c r="L15" s="65" t="n">
        <f aca="false">IF(L$5="A",Inputs_Actuals!L197,L13*L14)</f>
        <v>4741.43</v>
      </c>
      <c r="M15" s="65" t="n">
        <f aca="false">IF(M$5="A",Inputs_Actuals!M197,M13*M14)</f>
        <v>4309.02415</v>
      </c>
      <c r="N15" s="65" t="n">
        <f aca="false">IF(N$5="A",Inputs_Actuals!N197,N13*N14)</f>
        <v>4468.4711</v>
      </c>
      <c r="O15" s="65" t="n">
        <f aca="false">IF(O$5="A",Inputs_Actuals!O197,O13*O14)</f>
        <v>4069.6559</v>
      </c>
      <c r="P15" s="65" t="n">
        <f aca="false">IF(P$5="A",Inputs_Actuals!P197,P13*P14)</f>
        <v>3391.11615</v>
      </c>
      <c r="Q15" s="65" t="n">
        <f aca="false">IF(Q$5="A",Inputs_Actuals!Q197,Q13*Q14)</f>
        <v>5111.0660475</v>
      </c>
      <c r="R15" s="65" t="n">
        <f aca="false">IF(R$5="A",Inputs_Actuals!R197,R13*R14)</f>
        <v>4524.4753575</v>
      </c>
      <c r="S15" s="65" t="n">
        <f aca="false">IF(S$5="A",Inputs_Actuals!S197,S13*S14)</f>
        <v>4398.59931</v>
      </c>
      <c r="T15" s="65" t="n">
        <f aca="false">IF(T$5="A",Inputs_Actuals!T197,T13*T14)</f>
        <v>4189.22133</v>
      </c>
      <c r="U15" s="65" t="n">
        <f aca="false">IF(U$5="A",Inputs_Actuals!U197,U13*U14)</f>
        <v>4189.22133</v>
      </c>
      <c r="V15" s="65" t="n">
        <f aca="false">IF(V$5="A",Inputs_Actuals!V197,V13*V14)</f>
        <v>3979.84335</v>
      </c>
      <c r="W15" s="65" t="n">
        <f aca="false">IF(W$5="A",Inputs_Actuals!W197,W13*W14)</f>
        <v>3560.6719575</v>
      </c>
      <c r="X15" s="65" t="n">
        <f aca="false">IF(X$5="A",Inputs_Actuals!X197,X13*X14)</f>
        <v>2848.6206525</v>
      </c>
      <c r="Y15" s="65" t="n">
        <f aca="false">IF(Y$5="A",Inputs_Actuals!Y197,Y13*Y14)</f>
        <v>4524.4753575</v>
      </c>
      <c r="Z15" s="65" t="n">
        <f aca="false">IF(Z$5="A",Inputs_Actuals!Z197,Z13*Z14)</f>
        <v>4691.894655</v>
      </c>
      <c r="AA15" s="65" t="n">
        <f aca="false">IF(AA$5="A",Inputs_Actuals!AA197,AA13*AA14)</f>
        <v>4273.138695</v>
      </c>
      <c r="AB15" s="65" t="n">
        <f aca="false">IF(AB$5="A",Inputs_Actuals!AB197,AB13*AB14)</f>
        <v>3560.6719575</v>
      </c>
    </row>
    <row r="16" customFormat="false" ht="15" hidden="false" customHeight="false" outlineLevel="0" collapsed="false">
      <c r="A16" s="28" t="s">
        <v>1035</v>
      </c>
      <c r="B16" s="63" t="s">
        <v>1055</v>
      </c>
      <c r="C16" s="64" t="n">
        <f aca="false">SUM(E16:P16)</f>
        <v>144568.05</v>
      </c>
      <c r="D16" s="64" t="n">
        <f aca="false">SUM(Q16:AB16)</f>
        <v>129150</v>
      </c>
      <c r="E16" s="65" t="n">
        <f aca="false">IF(E$5="A",Inputs_Actuals!E211,E13*Assumptions!$C$133*Assumptions!E$201)</f>
        <v>22500</v>
      </c>
      <c r="F16" s="65" t="n">
        <f aca="false">IF(F$5="A",Inputs_Actuals!F211,F13*Assumptions!$C$133*Assumptions!F$201)</f>
        <v>10000</v>
      </c>
      <c r="G16" s="65" t="n">
        <f aca="false">IF(G$5="A",Inputs_Actuals!G211,G13*Assumptions!$C$133*Assumptions!G$201)</f>
        <v>17500</v>
      </c>
      <c r="H16" s="65" t="n">
        <f aca="false">IF(H$5="A",Inputs_Actuals!H211,H13*Assumptions!$C$133*Assumptions!H$201)</f>
        <v>12500</v>
      </c>
      <c r="I16" s="65" t="n">
        <f aca="false">IF(I$5="A",Inputs_Actuals!I211,I13*Assumptions!$C$133*Assumptions!I$201)</f>
        <v>7500</v>
      </c>
      <c r="J16" s="65" t="n">
        <f aca="false">IF(J$5="A",Inputs_Actuals!J211,J13*Assumptions!$C$133*Assumptions!J$201)</f>
        <v>10000</v>
      </c>
      <c r="K16" s="65" t="n">
        <f aca="false">IF(K$5="A",Inputs_Actuals!K211,K13*Assumptions!$C$133*Assumptions!K$201)</f>
        <v>10000</v>
      </c>
      <c r="L16" s="65" t="n">
        <f aca="false">IF(L$5="A",Inputs_Actuals!L211,L13*Assumptions!$C$133*Assumptions!L$201)</f>
        <v>12500</v>
      </c>
      <c r="M16" s="65" t="n">
        <f aca="false">IF(M$5="A",Inputs_Actuals!M211,M13*Assumptions!$C$133*Assumptions!M$201)</f>
        <v>11163.275</v>
      </c>
      <c r="N16" s="65" t="n">
        <f aca="false">IF(N$5="A",Inputs_Actuals!N211,N13*Assumptions!$C$133*Assumptions!N$201)</f>
        <v>11576.35</v>
      </c>
      <c r="O16" s="65" t="n">
        <f aca="false">IF(O$5="A",Inputs_Actuals!O211,O13*Assumptions!$C$133*Assumptions!O$201)</f>
        <v>10543.15</v>
      </c>
      <c r="P16" s="65" t="n">
        <f aca="false">IF(P$5="A",Inputs_Actuals!P211,P13*Assumptions!$C$133*Assumptions!P$201)</f>
        <v>8785.275</v>
      </c>
      <c r="Q16" s="65" t="n">
        <f aca="false">IF(Q$5="A",Inputs_Actuals!Q211,Q13*Assumptions!$C$133*Assumptions!Q$201)</f>
        <v>13241.10375</v>
      </c>
      <c r="R16" s="65" t="n">
        <f aca="false">IF(R$5="A",Inputs_Actuals!R211,R13*Assumptions!$C$133*Assumptions!R$201)</f>
        <v>11721.43875</v>
      </c>
      <c r="S16" s="65" t="n">
        <f aca="false">IF(S$5="A",Inputs_Actuals!S211,S13*Assumptions!$C$133*Assumptions!S$201)</f>
        <v>11395.335</v>
      </c>
      <c r="T16" s="65" t="n">
        <f aca="false">IF(T$5="A",Inputs_Actuals!T211,T13*Assumptions!$C$133*Assumptions!T$201)</f>
        <v>10852.905</v>
      </c>
      <c r="U16" s="65" t="n">
        <f aca="false">IF(U$5="A",Inputs_Actuals!U211,U13*Assumptions!$C$133*Assumptions!U$201)</f>
        <v>10852.905</v>
      </c>
      <c r="V16" s="65" t="n">
        <f aca="false">IF(V$5="A",Inputs_Actuals!V211,V13*Assumptions!$C$133*Assumptions!V$201)</f>
        <v>10310.475</v>
      </c>
      <c r="W16" s="65" t="n">
        <f aca="false">IF(W$5="A",Inputs_Actuals!W211,W13*Assumptions!$C$133*Assumptions!W$201)</f>
        <v>9224.53875</v>
      </c>
      <c r="X16" s="65" t="n">
        <f aca="false">IF(X$5="A",Inputs_Actuals!X211,X13*Assumptions!$C$133*Assumptions!X$201)</f>
        <v>7379.84625</v>
      </c>
      <c r="Y16" s="65" t="n">
        <f aca="false">IF(Y$5="A",Inputs_Actuals!Y211,Y13*Assumptions!$C$133*Assumptions!Y$201)</f>
        <v>11721.43875</v>
      </c>
      <c r="Z16" s="65" t="n">
        <f aca="false">IF(Z$5="A",Inputs_Actuals!Z211,Z13*Assumptions!$C$133*Assumptions!Z$201)</f>
        <v>12155.1675</v>
      </c>
      <c r="AA16" s="65" t="n">
        <f aca="false">IF(AA$5="A",Inputs_Actuals!AA211,AA13*Assumptions!$C$133*Assumptions!AA$201)</f>
        <v>11070.3075</v>
      </c>
      <c r="AB16" s="65" t="n">
        <f aca="false">IF(AB$5="A",Inputs_Actuals!AB211,AB13*Assumptions!$C$133*Assumptions!AB$201)</f>
        <v>9224.53875</v>
      </c>
    </row>
    <row r="17" customFormat="false" ht="15" hidden="false" customHeight="false" outlineLevel="0" collapsed="false">
      <c r="A17" s="22" t="s">
        <v>1056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row>
    <row r="18" customFormat="false" ht="15" hidden="false" customHeight="false" outlineLevel="0" collapsed="false">
      <c r="A18" s="28" t="s">
        <v>1057</v>
      </c>
      <c r="B18" s="63" t="s">
        <v>56</v>
      </c>
      <c r="C18" s="68" t="n">
        <f aca="false">SUM(E18:P18)</f>
        <v>3.1</v>
      </c>
      <c r="D18" s="68" t="n">
        <f aca="false">SUM(Q18:AB18)</f>
        <v>5.35</v>
      </c>
      <c r="E18" s="69" t="n">
        <f aca="false">Enterprise!E113</f>
        <v>0</v>
      </c>
      <c r="F18" s="69" t="n">
        <f aca="false">Enterprise!F113</f>
        <v>0</v>
      </c>
      <c r="G18" s="69" t="n">
        <f aca="false">Enterprise!G113</f>
        <v>0</v>
      </c>
      <c r="H18" s="69" t="n">
        <f aca="false">Enterprise!H113</f>
        <v>1</v>
      </c>
      <c r="I18" s="69" t="n">
        <f aca="false">Enterprise!I113</f>
        <v>0</v>
      </c>
      <c r="J18" s="69" t="n">
        <f aca="false">Enterprise!J113</f>
        <v>0</v>
      </c>
      <c r="K18" s="69" t="n">
        <f aca="false">Enterprise!K113</f>
        <v>1</v>
      </c>
      <c r="L18" s="69" t="n">
        <f aca="false">Enterprise!L113</f>
        <v>0</v>
      </c>
      <c r="M18" s="69" t="n">
        <f aca="false">Enterprise!M113</f>
        <v>0</v>
      </c>
      <c r="N18" s="69" t="n">
        <f aca="false">Enterprise!N113</f>
        <v>0</v>
      </c>
      <c r="O18" s="69" t="n">
        <f aca="false">Enterprise!O113</f>
        <v>0.6</v>
      </c>
      <c r="P18" s="69" t="n">
        <f aca="false">Enterprise!P113</f>
        <v>0.5</v>
      </c>
      <c r="Q18" s="69" t="n">
        <f aca="false">Enterprise!Q113</f>
        <v>0.45</v>
      </c>
      <c r="R18" s="69" t="n">
        <f aca="false">Enterprise!R113</f>
        <v>0.5</v>
      </c>
      <c r="S18" s="69" t="n">
        <f aca="false">Enterprise!S113</f>
        <v>0.4</v>
      </c>
      <c r="T18" s="69" t="n">
        <f aca="false">Enterprise!T113</f>
        <v>0.5</v>
      </c>
      <c r="U18" s="69" t="n">
        <f aca="false">Enterprise!U113</f>
        <v>0</v>
      </c>
      <c r="V18" s="69" t="n">
        <f aca="false">Enterprise!V113</f>
        <v>0.5</v>
      </c>
      <c r="W18" s="69" t="n">
        <f aca="false">Enterprise!W113</f>
        <v>0.5</v>
      </c>
      <c r="X18" s="69" t="n">
        <f aca="false">Enterprise!X113</f>
        <v>0.5</v>
      </c>
      <c r="Y18" s="69" t="n">
        <f aca="false">Enterprise!Y113</f>
        <v>0.5</v>
      </c>
      <c r="Z18" s="69" t="n">
        <f aca="false">Enterprise!Z113</f>
        <v>0.5</v>
      </c>
      <c r="AA18" s="69" t="n">
        <f aca="false">Enterprise!AA113</f>
        <v>0.5</v>
      </c>
      <c r="AB18" s="69" t="n">
        <f aca="false">Enterprise!AB113</f>
        <v>0.5</v>
      </c>
    </row>
    <row r="19" customFormat="false" ht="15" hidden="false" customHeight="false" outlineLevel="0" collapsed="false">
      <c r="A19" s="28" t="s">
        <v>804</v>
      </c>
      <c r="B19" s="63" t="s">
        <v>56</v>
      </c>
      <c r="C19" s="64" t="n">
        <f aca="false">SUM(E19:P19)</f>
        <v>26120</v>
      </c>
      <c r="D19" s="64" t="n">
        <f aca="false">SUM(Q19:AB19)</f>
        <v>37470</v>
      </c>
      <c r="E19" s="65" t="n">
        <f aca="false">Enterprise!E106</f>
        <v>0</v>
      </c>
      <c r="F19" s="65" t="n">
        <f aca="false">Enterprise!F106</f>
        <v>0</v>
      </c>
      <c r="G19" s="65" t="n">
        <f aca="false">Enterprise!G106</f>
        <v>0</v>
      </c>
      <c r="H19" s="65" t="n">
        <f aca="false">Enterprise!H106</f>
        <v>11500</v>
      </c>
      <c r="I19" s="65" t="n">
        <f aca="false">Enterprise!I106</f>
        <v>0</v>
      </c>
      <c r="J19" s="65" t="n">
        <f aca="false">Enterprise!J106</f>
        <v>0</v>
      </c>
      <c r="K19" s="65" t="n">
        <f aca="false">Enterprise!K106</f>
        <v>5800</v>
      </c>
      <c r="L19" s="65" t="n">
        <f aca="false">Enterprise!L106</f>
        <v>0</v>
      </c>
      <c r="M19" s="65" t="n">
        <f aca="false">Enterprise!M106</f>
        <v>0</v>
      </c>
      <c r="N19" s="65" t="n">
        <f aca="false">Enterprise!N106</f>
        <v>0</v>
      </c>
      <c r="O19" s="65" t="n">
        <f aca="false">Enterprise!O106</f>
        <v>4320</v>
      </c>
      <c r="P19" s="65" t="n">
        <f aca="false">Enterprise!P106</f>
        <v>4500</v>
      </c>
      <c r="Q19" s="65" t="n">
        <f aca="false">Enterprise!Q106</f>
        <v>2925</v>
      </c>
      <c r="R19" s="65" t="n">
        <f aca="false">Enterprise!R106</f>
        <v>2700</v>
      </c>
      <c r="S19" s="65" t="n">
        <f aca="false">Enterprise!S106</f>
        <v>3120</v>
      </c>
      <c r="T19" s="65" t="n">
        <f aca="false">Enterprise!T106</f>
        <v>3000</v>
      </c>
      <c r="U19" s="65" t="n">
        <f aca="false">Enterprise!U106</f>
        <v>0</v>
      </c>
      <c r="V19" s="65" t="n">
        <f aca="false">Enterprise!V106</f>
        <v>3675</v>
      </c>
      <c r="W19" s="65" t="n">
        <f aca="false">Enterprise!W106</f>
        <v>3675</v>
      </c>
      <c r="X19" s="65" t="n">
        <f aca="false">Enterprise!X106</f>
        <v>3675</v>
      </c>
      <c r="Y19" s="65" t="n">
        <f aca="false">Enterprise!Y106</f>
        <v>3675</v>
      </c>
      <c r="Z19" s="65" t="n">
        <f aca="false">Enterprise!Z106</f>
        <v>3675</v>
      </c>
      <c r="AA19" s="65" t="n">
        <f aca="false">Enterprise!AA106</f>
        <v>3675</v>
      </c>
      <c r="AB19" s="65" t="n">
        <f aca="false">Enterprise!AB106</f>
        <v>3675</v>
      </c>
    </row>
    <row r="20" customFormat="false" ht="15" hidden="false" customHeight="false" outlineLevel="0" collapsed="false">
      <c r="A20" s="28" t="s">
        <v>1058</v>
      </c>
      <c r="B20" s="63" t="s">
        <v>56</v>
      </c>
      <c r="C20" s="64" t="n">
        <f aca="false">SUM(E20:P20)</f>
        <v>0</v>
      </c>
      <c r="D20" s="64" t="n">
        <f aca="false">SUM(Q20:AB20)</f>
        <v>25725</v>
      </c>
      <c r="E20" s="65" t="n">
        <f aca="false">Enterprise!E37</f>
        <v>0</v>
      </c>
      <c r="F20" s="65" t="n">
        <f aca="false">Enterprise!F37</f>
        <v>0</v>
      </c>
      <c r="G20" s="65" t="n">
        <f aca="false">Enterprise!G37</f>
        <v>0</v>
      </c>
      <c r="H20" s="65" t="n">
        <f aca="false">Enterprise!H37</f>
        <v>0</v>
      </c>
      <c r="I20" s="65" t="n">
        <f aca="false">Enterprise!I37</f>
        <v>0</v>
      </c>
      <c r="J20" s="65" t="n">
        <f aca="false">Enterprise!J37</f>
        <v>0</v>
      </c>
      <c r="K20" s="65" t="n">
        <f aca="false">Enterprise!K37</f>
        <v>0</v>
      </c>
      <c r="L20" s="65" t="n">
        <f aca="false">Enterprise!L37</f>
        <v>0</v>
      </c>
      <c r="M20" s="65" t="n">
        <f aca="false">Enterprise!M37</f>
        <v>0</v>
      </c>
      <c r="N20" s="65" t="n">
        <f aca="false">Enterprise!N37</f>
        <v>0</v>
      </c>
      <c r="O20" s="65" t="n">
        <f aca="false">Enterprise!O37</f>
        <v>0</v>
      </c>
      <c r="P20" s="65" t="n">
        <f aca="false">Enterprise!P37</f>
        <v>0</v>
      </c>
      <c r="Q20" s="65" t="n">
        <f aca="false">Enterprise!Q37</f>
        <v>0</v>
      </c>
      <c r="R20" s="65" t="n">
        <f aca="false">Enterprise!R37</f>
        <v>0</v>
      </c>
      <c r="S20" s="65" t="n">
        <f aca="false">Enterprise!S37</f>
        <v>0</v>
      </c>
      <c r="T20" s="65" t="n">
        <f aca="false">Enterprise!T37</f>
        <v>0</v>
      </c>
      <c r="U20" s="65" t="n">
        <f aca="false">Enterprise!U37</f>
        <v>0</v>
      </c>
      <c r="V20" s="65" t="n">
        <f aca="false">Enterprise!V37</f>
        <v>3675</v>
      </c>
      <c r="W20" s="65" t="n">
        <f aca="false">Enterprise!W37</f>
        <v>3675</v>
      </c>
      <c r="X20" s="65" t="n">
        <f aca="false">Enterprise!X37</f>
        <v>3675</v>
      </c>
      <c r="Y20" s="65" t="n">
        <f aca="false">Enterprise!Y37</f>
        <v>3675</v>
      </c>
      <c r="Z20" s="65" t="n">
        <f aca="false">Enterprise!Z37</f>
        <v>3675</v>
      </c>
      <c r="AA20" s="65" t="n">
        <f aca="false">Enterprise!AA37</f>
        <v>3675</v>
      </c>
      <c r="AB20" s="65" t="n">
        <f aca="false">Enterprise!AB37</f>
        <v>3675</v>
      </c>
    </row>
    <row r="21" customFormat="false" ht="15" hidden="false" customHeight="false" outlineLevel="0" collapsed="false">
      <c r="A21" s="28" t="s">
        <v>1035</v>
      </c>
      <c r="B21" s="63" t="s">
        <v>56</v>
      </c>
      <c r="C21" s="64" t="n">
        <f aca="false">SUM(E21:P21)</f>
        <v>63800</v>
      </c>
      <c r="D21" s="64" t="n">
        <f aca="false">SUM(Q21:AB21)</f>
        <v>84700</v>
      </c>
      <c r="E21" s="65" t="n">
        <f aca="false">Enterprise!E102</f>
        <v>0</v>
      </c>
      <c r="F21" s="65" t="n">
        <f aca="false">Enterprise!F102</f>
        <v>0</v>
      </c>
      <c r="G21" s="65" t="n">
        <f aca="false">Enterprise!G102</f>
        <v>0</v>
      </c>
      <c r="H21" s="65" t="n">
        <f aca="false">Enterprise!H102</f>
        <v>28000</v>
      </c>
      <c r="I21" s="65" t="n">
        <f aca="false">Enterprise!I102</f>
        <v>0</v>
      </c>
      <c r="J21" s="65" t="n">
        <f aca="false">Enterprise!J102</f>
        <v>0</v>
      </c>
      <c r="K21" s="65" t="n">
        <f aca="false">Enterprise!K102</f>
        <v>14000</v>
      </c>
      <c r="L21" s="65" t="n">
        <f aca="false">Enterprise!L102</f>
        <v>0</v>
      </c>
      <c r="M21" s="65" t="n">
        <f aca="false">Enterprise!M102</f>
        <v>0</v>
      </c>
      <c r="N21" s="65" t="n">
        <f aca="false">Enterprise!N102</f>
        <v>0</v>
      </c>
      <c r="O21" s="65" t="n">
        <f aca="false">Enterprise!O102</f>
        <v>10800</v>
      </c>
      <c r="P21" s="65" t="n">
        <f aca="false">Enterprise!P102</f>
        <v>11000</v>
      </c>
      <c r="Q21" s="65" t="n">
        <f aca="false">Enterprise!Q102</f>
        <v>7200</v>
      </c>
      <c r="R21" s="65" t="n">
        <f aca="false">Enterprise!R102</f>
        <v>6000</v>
      </c>
      <c r="S21" s="65" t="n">
        <f aca="false">Enterprise!S102</f>
        <v>8000</v>
      </c>
      <c r="T21" s="65" t="n">
        <f aca="false">Enterprise!T102</f>
        <v>7500</v>
      </c>
      <c r="U21" s="65" t="n">
        <f aca="false">Enterprise!U102</f>
        <v>0</v>
      </c>
      <c r="V21" s="65" t="n">
        <f aca="false">Enterprise!V102</f>
        <v>8000</v>
      </c>
      <c r="W21" s="65" t="n">
        <f aca="false">Enterprise!W102</f>
        <v>8000</v>
      </c>
      <c r="X21" s="65" t="n">
        <f aca="false">Enterprise!X102</f>
        <v>8000</v>
      </c>
      <c r="Y21" s="65" t="n">
        <f aca="false">Enterprise!Y102</f>
        <v>8000</v>
      </c>
      <c r="Z21" s="65" t="n">
        <f aca="false">Enterprise!Z102</f>
        <v>8000</v>
      </c>
      <c r="AA21" s="65" t="n">
        <f aca="false">Enterprise!AA102</f>
        <v>8000</v>
      </c>
      <c r="AB21" s="65" t="n">
        <f aca="false">Enterprise!AB102</f>
        <v>8000</v>
      </c>
    </row>
    <row r="22" customFormat="false" ht="15" hidden="false" customHeight="false" outlineLevel="0" collapsed="false">
      <c r="A22" s="22" t="s">
        <v>1059</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row>
    <row r="23" customFormat="false" ht="15" hidden="false" customHeight="false" outlineLevel="0" collapsed="false">
      <c r="A23" s="59" t="s">
        <v>1060</v>
      </c>
      <c r="B23" s="60"/>
      <c r="C23" s="82" t="n">
        <f aca="false">SUM(E23:P23)</f>
        <v>422.05322</v>
      </c>
      <c r="D23" s="82" t="n">
        <f aca="false">SUM(Q23:AB23)</f>
        <v>414.55</v>
      </c>
      <c r="E23" s="82" t="n">
        <f aca="false">E9+E13+E18</f>
        <v>40</v>
      </c>
      <c r="F23" s="82" t="n">
        <f aca="false">F9+F13+F18</f>
        <v>39</v>
      </c>
      <c r="G23" s="82" t="n">
        <f aca="false">G9+G13+G18</f>
        <v>42</v>
      </c>
      <c r="H23" s="82" t="n">
        <f aca="false">H9+H13+H18</f>
        <v>35</v>
      </c>
      <c r="I23" s="82" t="n">
        <f aca="false">I9+I13+I18</f>
        <v>24</v>
      </c>
      <c r="J23" s="82" t="n">
        <f aca="false">J9+J13+J18</f>
        <v>36</v>
      </c>
      <c r="K23" s="82" t="n">
        <f aca="false">K9+K13+K18</f>
        <v>39</v>
      </c>
      <c r="L23" s="82" t="n">
        <f aca="false">L9+L13+L18</f>
        <v>26</v>
      </c>
      <c r="M23" s="82" t="n">
        <f aca="false">M9+M13+M18</f>
        <v>37.13831</v>
      </c>
      <c r="N23" s="82" t="n">
        <f aca="false">N9+N13+N18</f>
        <v>38.51254</v>
      </c>
      <c r="O23" s="82" t="n">
        <f aca="false">O9+O13+O18</f>
        <v>35.67526</v>
      </c>
      <c r="P23" s="82" t="n">
        <f aca="false">P9+P13+P18</f>
        <v>29.72711</v>
      </c>
      <c r="Q23" s="82" t="n">
        <f aca="false">Q9+Q13+Q18</f>
        <v>42.40323</v>
      </c>
      <c r="R23" s="82" t="n">
        <f aca="false">R9+R13+R18</f>
        <v>37.63831</v>
      </c>
      <c r="S23" s="82" t="n">
        <f aca="false">S9+S13+S18</f>
        <v>36.50508</v>
      </c>
      <c r="T23" s="82" t="n">
        <f aca="false">T9+T13+T18</f>
        <v>34.88644</v>
      </c>
      <c r="U23" s="82" t="n">
        <f aca="false">U9+U13+U18</f>
        <v>34.38644</v>
      </c>
      <c r="V23" s="82" t="n">
        <f aca="false">V9+V13+V18</f>
        <v>33.1678</v>
      </c>
      <c r="W23" s="82" t="n">
        <f aca="false">W9+W13+W18</f>
        <v>29.72711</v>
      </c>
      <c r="X23" s="82" t="n">
        <f aca="false">X9+X13+X18</f>
        <v>23.88237</v>
      </c>
      <c r="Y23" s="82" t="n">
        <f aca="false">Y9+Y13+Y18</f>
        <v>37.63831</v>
      </c>
      <c r="Z23" s="82" t="n">
        <f aca="false">Z9+Z13+Z18</f>
        <v>39.01254</v>
      </c>
      <c r="AA23" s="82" t="n">
        <f aca="false">AA9+AA13+AA18</f>
        <v>35.57526</v>
      </c>
      <c r="AB23" s="82" t="n">
        <f aca="false">AB9+AB13+AB18</f>
        <v>29.72711</v>
      </c>
    </row>
    <row r="24" customFormat="false" ht="15" hidden="false" customHeight="false" outlineLevel="0" collapsed="false">
      <c r="A24" s="59" t="s">
        <v>1061</v>
      </c>
      <c r="B24" s="60"/>
      <c r="C24" s="61" t="n">
        <f aca="false">SUM(E24:P24)</f>
        <v>156159.3993</v>
      </c>
      <c r="D24" s="61" t="n">
        <f aca="false">SUM(Q24:AB24)</f>
        <v>165567.9</v>
      </c>
      <c r="E24" s="61" t="n">
        <f aca="false">E11+E15+E19</f>
        <v>14644.77</v>
      </c>
      <c r="F24" s="61" t="n">
        <f aca="false">F11+F15+F19</f>
        <v>11106.27</v>
      </c>
      <c r="G24" s="61" t="n">
        <f aca="false">G11+G15+G19</f>
        <v>13970.62</v>
      </c>
      <c r="H24" s="61" t="n">
        <f aca="false">H11+H15+H19</f>
        <v>21924.04</v>
      </c>
      <c r="I24" s="61" t="n">
        <f aca="false">I11+I15+I19</f>
        <v>7429.98</v>
      </c>
      <c r="J24" s="61" t="n">
        <f aca="false">J11+J15+J19</f>
        <v>10786.34</v>
      </c>
      <c r="K24" s="61" t="n">
        <f aca="false">K11+K15+K19</f>
        <v>16611.36</v>
      </c>
      <c r="L24" s="61" t="n">
        <f aca="false">L11+L15+L19</f>
        <v>9140.67</v>
      </c>
      <c r="M24" s="61" t="n">
        <f aca="false">M11+M15+M19</f>
        <v>11072.33515</v>
      </c>
      <c r="N24" s="61" t="n">
        <f aca="false">N11+N15+N19</f>
        <v>11482.0451</v>
      </c>
      <c r="O24" s="61" t="n">
        <f aca="false">O11+O15+O19</f>
        <v>14777.2619</v>
      </c>
      <c r="P24" s="61" t="n">
        <f aca="false">P11+P15+P19</f>
        <v>13213.70715</v>
      </c>
      <c r="Q24" s="61" t="n">
        <f aca="false">Q11+Q15+Q19</f>
        <v>16058.2371975</v>
      </c>
      <c r="R24" s="61" t="n">
        <f aca="false">R11+R15+R19</f>
        <v>14325.9519075</v>
      </c>
      <c r="S24" s="61" t="n">
        <f aca="false">S11+S15+S19</f>
        <v>14422.50471</v>
      </c>
      <c r="T24" s="61" t="n">
        <f aca="false">T11+T15+T19</f>
        <v>13764.49353</v>
      </c>
      <c r="U24" s="61" t="n">
        <f aca="false">U11+U15+U19</f>
        <v>10764.49353</v>
      </c>
      <c r="V24" s="61" t="n">
        <f aca="false">V11+V15+V19</f>
        <v>13901.48235</v>
      </c>
      <c r="W24" s="61" t="n">
        <f aca="false">W11+W15+W19</f>
        <v>12824.3925075</v>
      </c>
      <c r="X24" s="61" t="n">
        <f aca="false">X11+X15+X19</f>
        <v>10994.7275025</v>
      </c>
      <c r="Y24" s="61" t="n">
        <f aca="false">Y11+Y15+Y19</f>
        <v>15300.9519075</v>
      </c>
      <c r="Z24" s="61" t="n">
        <f aca="false">Z11+Z15+Z19</f>
        <v>15731.147355</v>
      </c>
      <c r="AA24" s="61" t="n">
        <f aca="false">AA11+AA15+AA19</f>
        <v>14655.124995</v>
      </c>
      <c r="AB24" s="61" t="n">
        <f aca="false">AB11+AB15+AB19</f>
        <v>12824.3925075</v>
      </c>
    </row>
    <row r="25" customFormat="false" ht="15" hidden="false" customHeight="false" outlineLevel="0" collapsed="false">
      <c r="A25" s="28" t="s">
        <v>1062</v>
      </c>
      <c r="B25" s="63"/>
      <c r="C25" s="64" t="n">
        <f aca="false">SUM(E25:P25)</f>
        <v>1873912.7916</v>
      </c>
      <c r="D25" s="64" t="n">
        <f aca="false">SUM(Q25:AB25)</f>
        <v>1986814.8</v>
      </c>
      <c r="E25" s="74" t="n">
        <f aca="false">12*E24</f>
        <v>175737.24</v>
      </c>
      <c r="F25" s="74" t="n">
        <f aca="false">12*F24</f>
        <v>133275.24</v>
      </c>
      <c r="G25" s="74" t="n">
        <f aca="false">12*G24</f>
        <v>167647.44</v>
      </c>
      <c r="H25" s="74" t="n">
        <f aca="false">12*H24</f>
        <v>263088.48</v>
      </c>
      <c r="I25" s="74" t="n">
        <f aca="false">12*I24</f>
        <v>89159.76</v>
      </c>
      <c r="J25" s="74" t="n">
        <f aca="false">12*J24</f>
        <v>129436.08</v>
      </c>
      <c r="K25" s="74" t="n">
        <f aca="false">12*K24</f>
        <v>199336.32</v>
      </c>
      <c r="L25" s="74" t="n">
        <f aca="false">12*L24</f>
        <v>109688.04</v>
      </c>
      <c r="M25" s="74" t="n">
        <f aca="false">12*M24</f>
        <v>132868.0218</v>
      </c>
      <c r="N25" s="74" t="n">
        <f aca="false">12*N24</f>
        <v>137784.5412</v>
      </c>
      <c r="O25" s="74" t="n">
        <f aca="false">12*O24</f>
        <v>177327.1428</v>
      </c>
      <c r="P25" s="74" t="n">
        <f aca="false">12*P24</f>
        <v>158564.4858</v>
      </c>
      <c r="Q25" s="74" t="n">
        <f aca="false">12*Q24</f>
        <v>192698.84637</v>
      </c>
      <c r="R25" s="74" t="n">
        <f aca="false">12*R24</f>
        <v>171911.42289</v>
      </c>
      <c r="S25" s="74" t="n">
        <f aca="false">12*S24</f>
        <v>173070.05652</v>
      </c>
      <c r="T25" s="74" t="n">
        <f aca="false">12*T24</f>
        <v>165173.92236</v>
      </c>
      <c r="U25" s="74" t="n">
        <f aca="false">12*U24</f>
        <v>129173.92236</v>
      </c>
      <c r="V25" s="74" t="n">
        <f aca="false">12*V24</f>
        <v>166817.7882</v>
      </c>
      <c r="W25" s="74" t="n">
        <f aca="false">12*W24</f>
        <v>153892.71009</v>
      </c>
      <c r="X25" s="74" t="n">
        <f aca="false">12*X24</f>
        <v>131936.73003</v>
      </c>
      <c r="Y25" s="74" t="n">
        <f aca="false">12*Y24</f>
        <v>183611.42289</v>
      </c>
      <c r="Z25" s="74" t="n">
        <f aca="false">12*Z24</f>
        <v>188773.76826</v>
      </c>
      <c r="AA25" s="74" t="n">
        <f aca="false">12*AA24</f>
        <v>175861.49994</v>
      </c>
      <c r="AB25" s="74" t="n">
        <f aca="false">12*AB24</f>
        <v>153892.71009</v>
      </c>
    </row>
    <row r="26" customFormat="false" ht="15" hidden="false" customHeight="false" outlineLevel="0" collapsed="false">
      <c r="A26" s="28" t="s">
        <v>1063</v>
      </c>
      <c r="B26" s="63" t="s">
        <v>1033</v>
      </c>
      <c r="C26" s="64" t="n">
        <f aca="false">SUM(E26:P26)</f>
        <v>989852.0076</v>
      </c>
      <c r="D26" s="64" t="n">
        <f aca="false">SUM(Q26:AB26)</f>
        <v>1047862.8</v>
      </c>
      <c r="E26" s="74" t="n">
        <f aca="false">12*(E15+E19)</f>
        <v>101728.2</v>
      </c>
      <c r="F26" s="74" t="n">
        <f aca="false">12*(F15+F19)</f>
        <v>48742.44</v>
      </c>
      <c r="G26" s="74" t="n">
        <f aca="false">12*(G15+G19)</f>
        <v>84388.8</v>
      </c>
      <c r="H26" s="74" t="n">
        <f aca="false">12*(H15+H19)</f>
        <v>193345.08</v>
      </c>
      <c r="I26" s="74" t="n">
        <f aca="false">12*(I15+I19)</f>
        <v>35160.48</v>
      </c>
      <c r="J26" s="74" t="n">
        <f aca="false">12*(J15+J19)</f>
        <v>49720.92</v>
      </c>
      <c r="K26" s="74" t="n">
        <f aca="false">12*(K15+K19)</f>
        <v>119169.72</v>
      </c>
      <c r="L26" s="74" t="n">
        <f aca="false">12*(L15+L19)</f>
        <v>56897.16</v>
      </c>
      <c r="M26" s="74" t="n">
        <f aca="false">12*(M15+M19)</f>
        <v>51708.2898</v>
      </c>
      <c r="N26" s="74" t="n">
        <f aca="false">12*(N15+N19)</f>
        <v>53621.6532</v>
      </c>
      <c r="O26" s="74" t="n">
        <f aca="false">12*(O15+O19)</f>
        <v>100675.8708</v>
      </c>
      <c r="P26" s="74" t="n">
        <f aca="false">12*(P15+P19)</f>
        <v>94693.3938</v>
      </c>
      <c r="Q26" s="74" t="n">
        <f aca="false">12*(Q15+Q19)</f>
        <v>96432.79257</v>
      </c>
      <c r="R26" s="74" t="n">
        <f aca="false">12*(R15+R19)</f>
        <v>86693.70429</v>
      </c>
      <c r="S26" s="74" t="n">
        <f aca="false">12*(S15+S19)</f>
        <v>90223.19172</v>
      </c>
      <c r="T26" s="74" t="n">
        <f aca="false">12*(T15+T19)</f>
        <v>86270.65596</v>
      </c>
      <c r="U26" s="74" t="n">
        <f aca="false">12*(U15+U19)</f>
        <v>50270.65596</v>
      </c>
      <c r="V26" s="74" t="n">
        <f aca="false">12*(V15+V19)</f>
        <v>91858.1202</v>
      </c>
      <c r="W26" s="74" t="n">
        <f aca="false">12*(W15+W19)</f>
        <v>86828.06349</v>
      </c>
      <c r="X26" s="74" t="n">
        <f aca="false">12*(X15+X19)</f>
        <v>78283.44783</v>
      </c>
      <c r="Y26" s="74" t="n">
        <f aca="false">12*(Y15+Y19)</f>
        <v>98393.70429</v>
      </c>
      <c r="Z26" s="74" t="n">
        <f aca="false">12*(Z15+Z19)</f>
        <v>100402.73586</v>
      </c>
      <c r="AA26" s="74" t="n">
        <f aca="false">12*(AA15+AA19)</f>
        <v>95377.66434</v>
      </c>
      <c r="AB26" s="74" t="n">
        <f aca="false">12*(AB15+AB19)</f>
        <v>86828.06349</v>
      </c>
    </row>
    <row r="27" customFormat="false" ht="15" hidden="false" customHeight="false" outlineLevel="0" collapsed="false">
      <c r="A27" s="28" t="s">
        <v>1064</v>
      </c>
      <c r="B27" s="63" t="s">
        <v>1065</v>
      </c>
      <c r="C27" s="64" t="n">
        <f aca="false">SUM(E27:P27)</f>
        <v>299869.235373658</v>
      </c>
      <c r="D27" s="64" t="n">
        <f aca="false">SUM(Q27:AB27)</f>
        <v>362843.256465293</v>
      </c>
      <c r="E27" s="65" t="n">
        <f aca="false">12*(Subscriptions!E250+Enterprise!E108)</f>
        <v>38494.92</v>
      </c>
      <c r="F27" s="65" t="n">
        <f aca="false">12*(Subscriptions!F250+Enterprise!F108)</f>
        <v>14993.4</v>
      </c>
      <c r="G27" s="65" t="n">
        <f aca="false">12*(Subscriptions!G250+Enterprise!G108)</f>
        <v>34225.68</v>
      </c>
      <c r="H27" s="65" t="n">
        <f aca="false">12*(Subscriptions!H250+Enterprise!H108)</f>
        <v>17910.24</v>
      </c>
      <c r="I27" s="65" t="n">
        <f aca="false">12*(Subscriptions!I250+Enterprise!I108)</f>
        <v>32586.36</v>
      </c>
      <c r="J27" s="65" t="n">
        <f aca="false">12*(Subscriptions!J250+Enterprise!J108)</f>
        <v>28280.04</v>
      </c>
      <c r="K27" s="65" t="n">
        <f aca="false">12*(Subscriptions!K250+Enterprise!K108)</f>
        <v>21784.2</v>
      </c>
      <c r="L27" s="65" t="n">
        <f aca="false">12*(Subscriptions!L250+Enterprise!L108)</f>
        <v>15509.16</v>
      </c>
      <c r="M27" s="65" t="n">
        <f aca="false">12*(Subscriptions!M250+Enterprise!M108)</f>
        <v>29181.10539984</v>
      </c>
      <c r="N27" s="65" t="n">
        <f aca="false">12*(Subscriptions!N250+Enterprise!N108)</f>
        <v>21607.0783357885</v>
      </c>
      <c r="O27" s="65" t="n">
        <f aca="false">12*(Subscriptions!O250+Enterprise!O108)</f>
        <v>27186.6618545688</v>
      </c>
      <c r="P27" s="65" t="n">
        <f aca="false">12*(Subscriptions!P250+Enterprise!P108)</f>
        <v>18110.3897834606</v>
      </c>
      <c r="Q27" s="65" t="n">
        <f aca="false">12*(Subscriptions!Q250+Enterprise!Q108)</f>
        <v>43332.2890259956</v>
      </c>
      <c r="R27" s="65" t="n">
        <f aca="false">12*(Subscriptions!R250+Enterprise!R108)</f>
        <v>19858.289803594</v>
      </c>
      <c r="S27" s="65" t="n">
        <f aca="false">12*(Subscriptions!S250+Enterprise!S108)</f>
        <v>34776.5902550827</v>
      </c>
      <c r="T27" s="65" t="n">
        <f aca="false">12*(Subscriptions!T250+Enterprise!T108)</f>
        <v>32686.4480890309</v>
      </c>
      <c r="U27" s="65" t="n">
        <f aca="false">12*(Subscriptions!U250+Enterprise!U108)</f>
        <v>29124.1957248337</v>
      </c>
      <c r="V27" s="65" t="n">
        <f aca="false">12*(Subscriptions!V250+Enterprise!V108)</f>
        <v>27747.5240211302</v>
      </c>
      <c r="W27" s="65" t="n">
        <f aca="false">12*(Subscriptions!W250+Enterprise!W108)</f>
        <v>30329.6911344282</v>
      </c>
      <c r="X27" s="65" t="n">
        <f aca="false">12*(Subscriptions!X250+Enterprise!X108)</f>
        <v>21558.9951429418</v>
      </c>
      <c r="Y27" s="65" t="n">
        <f aca="false">12*(Subscriptions!Y250+Enterprise!Y108)</f>
        <v>34702.6320109724</v>
      </c>
      <c r="Z27" s="65" t="n">
        <f aca="false">12*(Subscriptions!Z250+Enterprise!Z108)</f>
        <v>27038.1307843625</v>
      </c>
      <c r="AA27" s="65" t="n">
        <f aca="false">12*(Subscriptions!AA250+Enterprise!AA108)</f>
        <v>35535.1769274505</v>
      </c>
      <c r="AB27" s="65" t="n">
        <f aca="false">12*(Subscriptions!AB250+Enterprise!AB108)</f>
        <v>26153.2935454708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1066</v>
      </c>
    </row>
    <row r="3" customFormat="false" ht="15" hidden="false" customHeight="false" outlineLevel="0" collapsed="false">
      <c r="A3" s="50" t="s">
        <v>1067</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1068</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1069</v>
      </c>
      <c r="B9" s="63" t="s">
        <v>1070</v>
      </c>
      <c r="C9" s="68" t="n">
        <f aca="false">P9</f>
        <v>2.94118803</v>
      </c>
      <c r="D9" s="68" t="n">
        <f aca="false">AB9</f>
        <v>2.94117647058824</v>
      </c>
      <c r="E9" s="69" t="n">
        <f aca="false">IF(E$5="A",Inputs_Actuals!E277,Assumptions!$F$76+0*Assumptions!$F$176-E26)</f>
        <v>3</v>
      </c>
      <c r="F9" s="69" t="n">
        <f aca="false">IF(F$5="A",Inputs_Actuals!F277,E9+0*Assumptions!$F$176-F26)</f>
        <v>3</v>
      </c>
      <c r="G9" s="69" t="n">
        <f aca="false">IF(G$5="A",Inputs_Actuals!G277,F9+0*Assumptions!$F$176-G26+IF(E$5="F",E26,0)*Assumptions!$F$177)</f>
        <v>3</v>
      </c>
      <c r="H9" s="69" t="n">
        <f aca="false">IF(H$5="A",Inputs_Actuals!H277,G9+0*Assumptions!$F$176-H26+IF(F$5="F",F26,0)*Assumptions!$F$177)</f>
        <v>3</v>
      </c>
      <c r="I9" s="69" t="n">
        <f aca="false">IF(I$5="A",Inputs_Actuals!I277,H9+0*Assumptions!$F$176-I26+IF(G$5="F",G26,0)*Assumptions!$F$177)</f>
        <v>3</v>
      </c>
      <c r="J9" s="69" t="n">
        <f aca="false">IF(J$5="A",Inputs_Actuals!J277,I9+0*Assumptions!$F$176-J26+IF(H$5="F",H26,0)*Assumptions!$F$177)</f>
        <v>3</v>
      </c>
      <c r="K9" s="69" t="n">
        <f aca="false">IF(K$5="A",Inputs_Actuals!K277,J9+0*Assumptions!$F$176-K26+IF(I$5="F",I26,0)*Assumptions!$F$177)</f>
        <v>3</v>
      </c>
      <c r="L9" s="69" t="n">
        <f aca="false">IF(L$5="A",Inputs_Actuals!L277,K9+0*Assumptions!$F$176-L26+IF(J$5="F",J26,0)*Assumptions!$F$177)</f>
        <v>3</v>
      </c>
      <c r="M9" s="69" t="n">
        <f aca="false">IF(M$5="A",Inputs_Actuals!M277,L9+0*Assumptions!$F$176-M26+IF(K$5="F",K26,0)*Assumptions!$F$177)</f>
        <v>2.97</v>
      </c>
      <c r="N9" s="69" t="n">
        <f aca="false">IF(N$5="A",Inputs_Actuals!N277,M9+0*Assumptions!$F$176-N26+IF(L$5="F",L26,0)*Assumptions!$F$177)</f>
        <v>2.9403</v>
      </c>
      <c r="O9" s="69" t="n">
        <f aca="false">IF(O$5="A",Inputs_Actuals!O277,N9+0*Assumptions!$F$176-O26+IF(M$5="F",M26,0)*Assumptions!$F$177)</f>
        <v>2.940897</v>
      </c>
      <c r="P9" s="69" t="n">
        <f aca="false">IF(P$5="A",Inputs_Actuals!P277,O9+0*Assumptions!$F$176-P26+IF(N$5="F",N26,0)*Assumptions!$F$177)</f>
        <v>2.94118803</v>
      </c>
      <c r="Q9" s="69" t="n">
        <f aca="false">IF(Q$5="A",Inputs_Actuals!Q277,P9+0*Assumptions!$F$176-Q26+IF(O$5="F",O26,0)*Assumptions!$F$177)</f>
        <v>2.9411791497</v>
      </c>
      <c r="R9" s="69" t="n">
        <f aca="false">IF(R$5="A",Inputs_Actuals!R277,Q9+0*Assumptions!$F$176-R26+IF(P$5="F",P26,0)*Assumptions!$F$177)</f>
        <v>2.941176328203</v>
      </c>
      <c r="S9" s="69" t="n">
        <f aca="false">IF(S$5="A",Inputs_Actuals!S277,R9+0*Assumptions!$F$176-S26+IF(Q$5="F",Q26,0)*Assumptions!$F$177)</f>
        <v>2.94117644522097</v>
      </c>
      <c r="T9" s="69" t="n">
        <f aca="false">IF(T$5="A",Inputs_Actuals!T277,S9+0*Assumptions!$F$176-T26+IF(R$5="F",R26,0)*Assumptions!$F$177)</f>
        <v>2.94117647226576</v>
      </c>
      <c r="U9" s="69" t="n">
        <f aca="false">IF(U$5="A",Inputs_Actuals!U277,T9+0*Assumptions!$F$176-U26+IF(S$5="F",S26,0)*Assumptions!$F$177)</f>
        <v>2.94117647082513</v>
      </c>
      <c r="V9" s="69" t="n">
        <f aca="false">IF(V$5="A",Inputs_Actuals!V277,U9+0*Assumptions!$F$176-V26+IF(T$5="F",T26,0)*Assumptions!$F$177)</f>
        <v>2.94117647056909</v>
      </c>
      <c r="W9" s="69" t="n">
        <f aca="false">IF(W$5="A",Inputs_Actuals!W277,V9+0*Assumptions!$F$176-W26+IF(U$5="F",U26,0)*Assumptions!$F$177)</f>
        <v>2.94117647058606</v>
      </c>
      <c r="X9" s="69" t="n">
        <f aca="false">IF(X$5="A",Inputs_Actuals!X277,W9+0*Assumptions!$F$176-X26+IF(V$5="F",V26,0)*Assumptions!$F$177)</f>
        <v>2.94117647058845</v>
      </c>
      <c r="Y9" s="69" t="n">
        <f aca="false">IF(Y$5="A",Inputs_Actuals!Y277,X9+0*Assumptions!$F$176-Y26+IF(W$5="F",W26,0)*Assumptions!$F$177)</f>
        <v>2.94117647058826</v>
      </c>
      <c r="Z9" s="69" t="n">
        <f aca="false">IF(Z$5="A",Inputs_Actuals!Z277,Y9+0*Assumptions!$F$176-Z26+IF(X$5="F",X26,0)*Assumptions!$F$177)</f>
        <v>2.94117647058823</v>
      </c>
      <c r="AA9" s="69" t="n">
        <f aca="false">IF(AA$5="A",Inputs_Actuals!AA277,Z9+0*Assumptions!$F$176-AA26+IF(Y$5="F",Y26,0)*Assumptions!$F$177)</f>
        <v>2.94117647058824</v>
      </c>
      <c r="AB9" s="69" t="n">
        <f aca="false">IF(AB$5="A",Inputs_Actuals!AB277,AA9+0*Assumptions!$F$176-AB26+IF(Z$5="F",Z26,0)*Assumptions!$F$177)</f>
        <v>2.94117647058824</v>
      </c>
    </row>
    <row r="10" customFormat="false" ht="15" hidden="false" customHeight="false" outlineLevel="0" collapsed="false">
      <c r="A10" s="28" t="s">
        <v>1071</v>
      </c>
      <c r="B10" s="63" t="s">
        <v>1070</v>
      </c>
      <c r="C10" s="68" t="n">
        <f aca="false">P10</f>
        <v>9.8039601</v>
      </c>
      <c r="D10" s="68" t="n">
        <f aca="false">AB10</f>
        <v>11.7647058823515</v>
      </c>
      <c r="E10" s="69" t="n">
        <f aca="false">IF(E$5="A",Inputs_Actuals!E278,Assumptions!$F$77+0*Assumptions!$F$176-E27)</f>
        <v>9</v>
      </c>
      <c r="F10" s="69" t="n">
        <f aca="false">IF(F$5="A",Inputs_Actuals!F278,E10+0*Assumptions!$F$176-F27)</f>
        <v>9</v>
      </c>
      <c r="G10" s="69" t="n">
        <f aca="false">IF(G$5="A",Inputs_Actuals!G278,F10+0*Assumptions!$F$176-G27+IF(E$5="F",E27,0)*Assumptions!$F$177)</f>
        <v>10</v>
      </c>
      <c r="H10" s="69" t="n">
        <f aca="false">IF(H$5="A",Inputs_Actuals!H278,G10+0*Assumptions!$F$176-H27+IF(F$5="F",F27,0)*Assumptions!$F$177)</f>
        <v>10</v>
      </c>
      <c r="I10" s="69" t="n">
        <f aca="false">IF(I$5="A",Inputs_Actuals!I278,H10+0*Assumptions!$F$176-I27+IF(G$5="F",G27,0)*Assumptions!$F$177)</f>
        <v>10</v>
      </c>
      <c r="J10" s="69" t="n">
        <f aca="false">IF(J$5="A",Inputs_Actuals!J278,I10+0*Assumptions!$F$176-J27+IF(H$5="F",H27,0)*Assumptions!$F$177)</f>
        <v>10</v>
      </c>
      <c r="K10" s="69" t="n">
        <f aca="false">IF(K$5="A",Inputs_Actuals!K278,J10+0*Assumptions!$F$176-K27+IF(I$5="F",I27,0)*Assumptions!$F$177)</f>
        <v>10</v>
      </c>
      <c r="L10" s="69" t="n">
        <f aca="false">IF(L$5="A",Inputs_Actuals!L278,K10+0*Assumptions!$F$176-L27+IF(J$5="F",J27,0)*Assumptions!$F$177)</f>
        <v>10</v>
      </c>
      <c r="M10" s="69" t="n">
        <f aca="false">IF(M$5="A",Inputs_Actuals!M278,L10+0*Assumptions!$F$176-M27+IF(K$5="F",K27,0)*Assumptions!$F$177)</f>
        <v>9.9</v>
      </c>
      <c r="N10" s="69" t="n">
        <f aca="false">IF(N$5="A",Inputs_Actuals!N278,M10+0*Assumptions!$F$176-N27+IF(L$5="F",L27,0)*Assumptions!$F$177)</f>
        <v>9.801</v>
      </c>
      <c r="O10" s="69" t="n">
        <f aca="false">IF(O$5="A",Inputs_Actuals!O278,N10+0*Assumptions!$F$176-O27+IF(M$5="F",M27,0)*Assumptions!$F$177)</f>
        <v>9.80299</v>
      </c>
      <c r="P10" s="69" t="n">
        <f aca="false">IF(P$5="A",Inputs_Actuals!P278,O10+0*Assumptions!$F$176-P27+IF(N$5="F",N27,0)*Assumptions!$F$177)</f>
        <v>9.8039601</v>
      </c>
      <c r="Q10" s="69" t="n">
        <f aca="false">IF(Q$5="A",Inputs_Actuals!Q278,P10+2*Assumptions!$F$176-Q27+IF(O$5="F",O27,0)*Assumptions!$F$177)</f>
        <v>11.803930499</v>
      </c>
      <c r="R10" s="69" t="n">
        <f aca="false">IF(R$5="A",Inputs_Actuals!R278,Q10+0*Assumptions!$F$176-R27+IF(P$5="F",P27,0)*Assumptions!$F$177)</f>
        <v>11.78392109401</v>
      </c>
      <c r="S10" s="69" t="n">
        <f aca="false">IF(S$5="A",Inputs_Actuals!S278,R10+0*Assumptions!$F$176-S27+IF(Q$5="F",Q27,0)*Assumptions!$F$177)</f>
        <v>11.7641214840699</v>
      </c>
      <c r="T10" s="69" t="n">
        <f aca="false">IF(T$5="A",Inputs_Actuals!T278,S10+0*Assumptions!$F$176-T27+IF(R$5="F",R27,0)*Assumptions!$F$177)</f>
        <v>11.7645195742192</v>
      </c>
      <c r="U10" s="69" t="n">
        <f aca="false">IF(U$5="A",Inputs_Actuals!U278,T10+0*Assumptions!$F$176-U27+IF(S$5="F",S27,0)*Assumptions!$F$177)</f>
        <v>11.7647135894171</v>
      </c>
      <c r="V10" s="69" t="n">
        <f aca="false">IF(V$5="A",Inputs_Actuals!V278,U10+0*Assumptions!$F$176-V27+IF(T$5="F",T27,0)*Assumptions!$F$177)</f>
        <v>11.7647076683636</v>
      </c>
      <c r="W10" s="69" t="n">
        <f aca="false">IF(W$5="A",Inputs_Actuals!W278,V10+0*Assumptions!$F$176-W27+IF(U$5="F",U27,0)*Assumptions!$F$177)</f>
        <v>11.7647057874222</v>
      </c>
      <c r="X10" s="69" t="n">
        <f aca="false">IF(X$5="A",Inputs_Actuals!X278,W10+0*Assumptions!$F$176-X27+IF(V$5="F",V27,0)*Assumptions!$F$177)</f>
        <v>11.7647058654421</v>
      </c>
      <c r="Y10" s="69" t="n">
        <f aca="false">IF(Y$5="A",Inputs_Actuals!Y278,X10+0*Assumptions!$F$176-Y27+IF(W$5="F",W27,0)*Assumptions!$F$177)</f>
        <v>11.7647058834714</v>
      </c>
      <c r="Z10" s="69" t="n">
        <f aca="false">IF(Z$5="A",Inputs_Actuals!Z278,Y10+0*Assumptions!$F$176-Z27+IF(X$5="F",X27,0)*Assumptions!$F$177)</f>
        <v>11.7647058825109</v>
      </c>
      <c r="AA10" s="69" t="n">
        <f aca="false">IF(AA$5="A",Inputs_Actuals!AA278,Z10+0*Assumptions!$F$176-AA27+IF(Y$5="F",Y27,0)*Assumptions!$F$177)</f>
        <v>11.7647058823402</v>
      </c>
      <c r="AB10" s="69" t="n">
        <f aca="false">IF(AB$5="A",Inputs_Actuals!AB278,AA10+0*Assumptions!$F$176-AB27+IF(Z$5="F",Z27,0)*Assumptions!$F$177)</f>
        <v>11.7647058823515</v>
      </c>
    </row>
    <row r="11" customFormat="false" ht="15" hidden="false" customHeight="false" outlineLevel="0" collapsed="false">
      <c r="A11" s="28" t="s">
        <v>1072</v>
      </c>
      <c r="B11" s="63" t="s">
        <v>1070</v>
      </c>
      <c r="C11" s="68" t="n">
        <f aca="false">P11</f>
        <v>13.72544713</v>
      </c>
      <c r="D11" s="68" t="n">
        <f aca="false">AB11</f>
        <v>15.6862745103624</v>
      </c>
      <c r="E11" s="69" t="n">
        <f aca="false">IF(E$5="A",Inputs_Actuals!E279,Assumptions!$F$78+0*Assumptions!$F$176-E28-IF(Assumptions!E$188=Assumptions!$F$180,Assumptions!$F$179*Assumptions!$G$78,0))</f>
        <v>12</v>
      </c>
      <c r="F11" s="69" t="n">
        <f aca="false">IF(F$5="A",Inputs_Actuals!F279,E11+0*Assumptions!$F$176-F28-IF(Assumptions!F$188=Assumptions!$F$180,Assumptions!$F$179*Assumptions!$G$78,0))</f>
        <v>13</v>
      </c>
      <c r="G11" s="69" t="n">
        <f aca="false">IF(G$5="A",Inputs_Actuals!G279,F11+0*Assumptions!$F$176-G28+IF(E$5="F",E28,0)*Assumptions!$F$177-IF(Assumptions!G$188=Assumptions!$F$180,Assumptions!$F$179*Assumptions!$G$78,0))</f>
        <v>13</v>
      </c>
      <c r="H11" s="69" t="n">
        <f aca="false">IF(H$5="A",Inputs_Actuals!H279,G11+0*Assumptions!$F$176-H28+IF(F$5="F",F28,0)*Assumptions!$F$177-IF(Assumptions!H$188=Assumptions!$F$180,Assumptions!$F$179*Assumptions!$G$78,0))</f>
        <v>13</v>
      </c>
      <c r="I11" s="69" t="n">
        <f aca="false">IF(I$5="A",Inputs_Actuals!I279,H11+0*Assumptions!$F$176-I28+IF(G$5="F",G28,0)*Assumptions!$F$177-IF(Assumptions!I$188=Assumptions!$F$180,Assumptions!$F$179*Assumptions!$G$78,0))</f>
        <v>14</v>
      </c>
      <c r="J11" s="69" t="n">
        <f aca="false">IF(J$5="A",Inputs_Actuals!J279,I11+0*Assumptions!$F$176-J28+IF(H$5="F",H28,0)*Assumptions!$F$177-IF(Assumptions!J$188=Assumptions!$F$180,Assumptions!$F$179*Assumptions!$G$78,0))</f>
        <v>14</v>
      </c>
      <c r="K11" s="69" t="n">
        <f aca="false">IF(K$5="A",Inputs_Actuals!K279,J11+0*Assumptions!$F$176-K28+IF(I$5="F",I28,0)*Assumptions!$F$177-IF(Assumptions!K$188=Assumptions!$F$180,Assumptions!$F$179*Assumptions!$G$78,0))</f>
        <v>13</v>
      </c>
      <c r="L11" s="69" t="n">
        <f aca="false">IF(L$5="A",Inputs_Actuals!L279,K11+0*Assumptions!$F$176-L28+IF(J$5="F",J28,0)*Assumptions!$F$177-IF(Assumptions!L$188=Assumptions!$F$180,Assumptions!$F$179*Assumptions!$G$78,0))</f>
        <v>13</v>
      </c>
      <c r="M11" s="69" t="n">
        <f aca="false">IF(M$5="A",Inputs_Actuals!M279,L11+1*Assumptions!$F$176-M28+IF(K$5="F",K28,0)*Assumptions!$F$177-IF(Assumptions!M$188=Assumptions!$F$180,Assumptions!$F$179*Assumptions!$G$78,0))</f>
        <v>13.87</v>
      </c>
      <c r="N11" s="69" t="n">
        <f aca="false">IF(N$5="A",Inputs_Actuals!N279,M11+0*Assumptions!$F$176-N28+IF(L$5="F",L28,0)*Assumptions!$F$177-IF(Assumptions!N$188=Assumptions!$F$180,Assumptions!$F$179*Assumptions!$G$78,0))</f>
        <v>13.7313</v>
      </c>
      <c r="O11" s="69" t="n">
        <f aca="false">IF(O$5="A",Inputs_Actuals!O279,N11+0*Assumptions!$F$176-O28+IF(M$5="F",M28,0)*Assumptions!$F$177-IF(Assumptions!O$188=Assumptions!$F$180,Assumptions!$F$179*Assumptions!$G$78,0))</f>
        <v>13.723987</v>
      </c>
      <c r="P11" s="69" t="n">
        <f aca="false">IF(P$5="A",Inputs_Actuals!P279,O11+0*Assumptions!$F$176-P28+IF(N$5="F",N28,0)*Assumptions!$F$177-IF(Assumptions!P$188=Assumptions!$F$180,Assumptions!$F$179*Assumptions!$G$78,0))</f>
        <v>13.72544713</v>
      </c>
      <c r="Q11" s="69" t="n">
        <f aca="false">IF(Q$5="A",Inputs_Actuals!Q279,P11+1*Assumptions!$F$176-Q28+IF(O$5="F",O28,0)*Assumptions!$F$177-IF(Assumptions!Q$188=Assumptions!$F$180,Assumptions!$F$179*Assumptions!$G$78,0))</f>
        <v>14.7255056587</v>
      </c>
      <c r="R11" s="69" t="n">
        <f aca="false">IF(R$5="A",Inputs_Actuals!R279,Q11+0*Assumptions!$F$176-R28+IF(P$5="F",P28,0)*Assumptions!$F$177-IF(Assumptions!R$188=Assumptions!$F$180,Assumptions!$F$179*Assumptions!$G$78,0))</f>
        <v>14.715490472113</v>
      </c>
      <c r="S11" s="69" t="n">
        <f aca="false">IF(S$5="A",Inputs_Actuals!S279,R11+0*Assumptions!$F$176-S28+IF(Q$5="F",Q28,0)*Assumptions!$F$177-IF(Assumptions!S$188=Assumptions!$F$180,Assumptions!$F$179*Assumptions!$G$78,0))</f>
        <v>14.7055900386919</v>
      </c>
      <c r="T11" s="69" t="n">
        <f aca="false">IF(T$5="A",Inputs_Actuals!T279,S11+1*Assumptions!$F$176-T28+IF(R$5="F",R28,0)*Assumptions!$F$177-IF(Assumptions!T$188=Assumptions!$F$180,Assumptions!$F$179*Assumptions!$G$78,0))</f>
        <v>15.705789194892</v>
      </c>
      <c r="U11" s="69" t="n">
        <f aca="false">IF(U$5="A",Inputs_Actuals!U279,T11+0*Assumptions!$F$176-U28+IF(S$5="F",S28,0)*Assumptions!$F$177-IF(Assumptions!U$188=Assumptions!$F$180,Assumptions!$F$179*Assumptions!$G$78,0))</f>
        <v>15.6958862076642</v>
      </c>
      <c r="V11" s="69" t="n">
        <f aca="false">IF(V$5="A",Inputs_Actuals!V279,U11+0*Assumptions!$F$176-V28+IF(T$5="F",T28,0)*Assumptions!$F$177-IF(Assumptions!V$188=Assumptions!$F$180,Assumptions!$F$179*Assumptions!$G$78,0))</f>
        <v>15.6859832459744</v>
      </c>
      <c r="W11" s="69" t="n">
        <f aca="false">IF(W$5="A",Inputs_Actuals!W279,V11+0*Assumptions!$F$176-W28+IF(U$5="F",U28,0)*Assumptions!$F$177-IF(Assumptions!W$188=Assumptions!$F$180,Assumptions!$F$179*Assumptions!$G$78,0))</f>
        <v>15.6861813054636</v>
      </c>
      <c r="X11" s="69" t="n">
        <f aca="false">IF(X$5="A",Inputs_Actuals!X279,W11+0*Assumptions!$F$176-X28+IF(V$5="F",V28,0)*Assumptions!$F$177-IF(Assumptions!X$188=Assumptions!$F$180,Assumptions!$F$179*Assumptions!$G$78,0))</f>
        <v>15.6862783544856</v>
      </c>
      <c r="Y11" s="69" t="n">
        <f aca="false">IF(Y$5="A",Inputs_Actuals!Y279,X11+0*Assumptions!$F$176-Y28+IF(W$5="F",W28,0)*Assumptions!$F$177-IF(Assumptions!Y$188=Assumptions!$F$180,Assumptions!$F$179*Assumptions!$G$78,0))</f>
        <v>15.6862754034005</v>
      </c>
      <c r="Z11" s="69" t="n">
        <f aca="false">IF(Z$5="A",Inputs_Actuals!Z279,Y11+0*Assumptions!$F$176-Z28+IF(X$5="F",X28,0)*Assumptions!$F$177-IF(Assumptions!Z$188=Assumptions!$F$180,Assumptions!$F$179*Assumptions!$G$78,0))</f>
        <v>15.6862744624211</v>
      </c>
      <c r="AA11" s="69" t="n">
        <f aca="false">IF(AA$5="A",Inputs_Actuals!AA279,Z11+0*Assumptions!$F$176-AA28+IF(Y$5="F",Y28,0)*Assumptions!$F$177-IF(Assumptions!AA$188=Assumptions!$F$180,Assumptions!$F$179*Assumptions!$G$78,0))</f>
        <v>15.6862745013418</v>
      </c>
      <c r="AB11" s="69" t="n">
        <f aca="false">IF(AB$5="A",Inputs_Actuals!AB279,AA11+0*Assumptions!$F$176-AB28+IF(Z$5="F",Z28,0)*Assumptions!$F$177-IF(Assumptions!AB$188=Assumptions!$F$180,Assumptions!$F$179*Assumptions!$G$78,0))</f>
        <v>15.6862745103624</v>
      </c>
    </row>
    <row r="12" customFormat="false" ht="15" hidden="false" customHeight="false" outlineLevel="0" collapsed="false">
      <c r="A12" s="28" t="s">
        <v>1073</v>
      </c>
      <c r="B12" s="63" t="s">
        <v>1070</v>
      </c>
      <c r="C12" s="68" t="n">
        <f aca="false">P12</f>
        <v>5.88237606</v>
      </c>
      <c r="D12" s="68" t="n">
        <f aca="false">AB12</f>
        <v>7.84295094117647</v>
      </c>
      <c r="E12" s="69" t="n">
        <f aca="false">IF(E$5="A",Inputs_Actuals!E280,Assumptions!$F$79+0*Assumptions!$F$176-E29)</f>
        <v>5</v>
      </c>
      <c r="F12" s="69" t="n">
        <f aca="false">IF(F$5="A",Inputs_Actuals!F280,E12+0*Assumptions!$F$176-F29)</f>
        <v>5</v>
      </c>
      <c r="G12" s="69" t="n">
        <f aca="false">IF(G$5="A",Inputs_Actuals!G280,F12+0*Assumptions!$F$176-G29+IF(E$5="F",E29,0)*Assumptions!$F$177)</f>
        <v>5</v>
      </c>
      <c r="H12" s="69" t="n">
        <f aca="false">IF(H$5="A",Inputs_Actuals!H280,G12+0*Assumptions!$F$176-H29+IF(F$5="F",F29,0)*Assumptions!$F$177)</f>
        <v>5</v>
      </c>
      <c r="I12" s="69" t="n">
        <f aca="false">IF(I$5="A",Inputs_Actuals!I280,H12+0*Assumptions!$F$176-I29+IF(G$5="F",G29,0)*Assumptions!$F$177)</f>
        <v>5</v>
      </c>
      <c r="J12" s="69" t="n">
        <f aca="false">IF(J$5="A",Inputs_Actuals!J280,I12+0*Assumptions!$F$176-J29+IF(H$5="F",H29,0)*Assumptions!$F$177)</f>
        <v>5</v>
      </c>
      <c r="K12" s="69" t="n">
        <f aca="false">IF(K$5="A",Inputs_Actuals!K280,J12+0*Assumptions!$F$176-K29+IF(I$5="F",I29,0)*Assumptions!$F$177)</f>
        <v>6</v>
      </c>
      <c r="L12" s="69" t="n">
        <f aca="false">IF(L$5="A",Inputs_Actuals!L280,K12+0*Assumptions!$F$176-L29+IF(J$5="F",J29,0)*Assumptions!$F$177)</f>
        <v>6</v>
      </c>
      <c r="M12" s="69" t="n">
        <f aca="false">IF(M$5="A",Inputs_Actuals!M280,L12+0*Assumptions!$F$176-M29+IF(K$5="F",K29,0)*Assumptions!$F$177)</f>
        <v>5.94</v>
      </c>
      <c r="N12" s="69" t="n">
        <f aca="false">IF(N$5="A",Inputs_Actuals!N280,M12+0*Assumptions!$F$176-N29+IF(L$5="F",L29,0)*Assumptions!$F$177)</f>
        <v>5.8806</v>
      </c>
      <c r="O12" s="69" t="n">
        <f aca="false">IF(O$5="A",Inputs_Actuals!O280,N12+0*Assumptions!$F$176-O29+IF(M$5="F",M29,0)*Assumptions!$F$177)</f>
        <v>5.881794</v>
      </c>
      <c r="P12" s="69" t="n">
        <f aca="false">IF(P$5="A",Inputs_Actuals!P280,O12+0*Assumptions!$F$176-P29+IF(N$5="F",N29,0)*Assumptions!$F$177)</f>
        <v>5.88237606</v>
      </c>
      <c r="Q12" s="69" t="n">
        <f aca="false">IF(Q$5="A",Inputs_Actuals!Q280,P12+0*Assumptions!$F$176-Q29+IF(O$5="F",O29,0)*Assumptions!$F$177)</f>
        <v>5.8823582994</v>
      </c>
      <c r="R12" s="69" t="n">
        <f aca="false">IF(R$5="A",Inputs_Actuals!R280,Q12+0*Assumptions!$F$176-R29+IF(P$5="F",P29,0)*Assumptions!$F$177)</f>
        <v>5.882352656406</v>
      </c>
      <c r="S12" s="69" t="n">
        <f aca="false">IF(S$5="A",Inputs_Actuals!S280,R12+0*Assumptions!$F$176-S29+IF(Q$5="F",Q29,0)*Assumptions!$F$177)</f>
        <v>5.88235289044194</v>
      </c>
      <c r="T12" s="69" t="n">
        <f aca="false">IF(T$5="A",Inputs_Actuals!T280,S12+0*Assumptions!$F$176-T29+IF(R$5="F",R29,0)*Assumptions!$F$177)</f>
        <v>5.88235294453152</v>
      </c>
      <c r="U12" s="69" t="n">
        <f aca="false">IF(U$5="A",Inputs_Actuals!U280,T12+0*Assumptions!$F$176-U29+IF(S$5="F",S29,0)*Assumptions!$F$177)</f>
        <v>5.88235294165027</v>
      </c>
      <c r="V12" s="69" t="n">
        <f aca="false">IF(V$5="A",Inputs_Actuals!V280,U12+0*Assumptions!$F$176-V29+IF(T$5="F",T29,0)*Assumptions!$F$177)</f>
        <v>5.88235294113818</v>
      </c>
      <c r="W12" s="69" t="n">
        <f aca="false">IF(W$5="A",Inputs_Actuals!W280,V12+0*Assumptions!$F$176-W29+IF(U$5="F",U29,0)*Assumptions!$F$177)</f>
        <v>5.88235294117212</v>
      </c>
      <c r="X12" s="69" t="n">
        <f aca="false">IF(X$5="A",Inputs_Actuals!X280,W12+0*Assumptions!$F$176-X29+IF(V$5="F",V29,0)*Assumptions!$F$177)</f>
        <v>5.8823529411769</v>
      </c>
      <c r="Y12" s="69" t="n">
        <f aca="false">IF(Y$5="A",Inputs_Actuals!Y280,X12+2*Assumptions!$F$176-Y29+IF(W$5="F",W29,0)*Assumptions!$F$177)</f>
        <v>7.88235294117651</v>
      </c>
      <c r="Z12" s="69" t="n">
        <f aca="false">IF(Z$5="A",Inputs_Actuals!Z280,Y12+0*Assumptions!$F$176-Z29+IF(X$5="F",X29,0)*Assumptions!$F$177)</f>
        <v>7.86235294117647</v>
      </c>
      <c r="AA12" s="69" t="n">
        <f aca="false">IF(AA$5="A",Inputs_Actuals!AA280,Z12+0*Assumptions!$F$176-AA29+IF(Y$5="F",Y29,0)*Assumptions!$F$177)</f>
        <v>7.84255294117647</v>
      </c>
      <c r="AB12" s="69" t="n">
        <f aca="false">IF(AB$5="A",Inputs_Actuals!AB280,AA12+0*Assumptions!$F$176-AB29+IF(Z$5="F",Z29,0)*Assumptions!$F$177)</f>
        <v>7.84295094117647</v>
      </c>
    </row>
    <row r="13" customFormat="false" ht="15" hidden="false" customHeight="false" outlineLevel="0" collapsed="false">
      <c r="A13" s="28" t="s">
        <v>1074</v>
      </c>
      <c r="B13" s="63" t="s">
        <v>1070</v>
      </c>
      <c r="C13" s="68" t="n">
        <f aca="false">P13</f>
        <v>3.93443520447531</v>
      </c>
      <c r="D13" s="68" t="n">
        <f aca="false">AB13</f>
        <v>4.91803278688499</v>
      </c>
      <c r="E13" s="69" t="n">
        <f aca="false">IF(E$5="A",Inputs_Actuals!E281,Assumptions!$F$80+0*Assumptions!$F$176-E30)</f>
        <v>4</v>
      </c>
      <c r="F13" s="69" t="n">
        <f aca="false">IF(F$5="A",Inputs_Actuals!F281,E13+0*Assumptions!$F$176-F30)</f>
        <v>4</v>
      </c>
      <c r="G13" s="69" t="n">
        <f aca="false">IF(G$5="A",Inputs_Actuals!G281,F13+0*Assumptions!$F$176-G30+IF(E$5="F",E30,0)*Assumptions!$F$177)</f>
        <v>4</v>
      </c>
      <c r="H13" s="69" t="n">
        <f aca="false">IF(H$5="A",Inputs_Actuals!H281,G13+0*Assumptions!$F$176-H30+IF(F$5="F",F30,0)*Assumptions!$F$177)</f>
        <v>4</v>
      </c>
      <c r="I13" s="69" t="n">
        <f aca="false">IF(I$5="A",Inputs_Actuals!I281,H13+0*Assumptions!$F$176-I30+IF(G$5="F",G30,0)*Assumptions!$F$177)</f>
        <v>4</v>
      </c>
      <c r="J13" s="69" t="n">
        <f aca="false">IF(J$5="A",Inputs_Actuals!J281,I13+0*Assumptions!$F$176-J30+IF(H$5="F",H30,0)*Assumptions!$F$177)</f>
        <v>4</v>
      </c>
      <c r="K13" s="69" t="n">
        <f aca="false">IF(K$5="A",Inputs_Actuals!K281,J13+0*Assumptions!$F$176-K30+IF(I$5="F",I30,0)*Assumptions!$F$177)</f>
        <v>4</v>
      </c>
      <c r="L13" s="69" t="n">
        <f aca="false">IF(L$5="A",Inputs_Actuals!L281,K13+0*Assumptions!$F$176-L30+IF(J$5="F",J30,0)*Assumptions!$F$177)</f>
        <v>4</v>
      </c>
      <c r="M13" s="69" t="n">
        <f aca="false">IF(M$5="A",Inputs_Actuals!M281,L13+0*Assumptions!$F$176-M30+IF(K$5="F",K30,0)*Assumptions!$F$177)</f>
        <v>3.96666666666667</v>
      </c>
      <c r="N13" s="69" t="n">
        <f aca="false">IF(N$5="A",Inputs_Actuals!N281,M13+0*Assumptions!$F$176-N30+IF(L$5="F",L30,0)*Assumptions!$F$177)</f>
        <v>3.93361111111111</v>
      </c>
      <c r="O13" s="69" t="n">
        <f aca="false">IF(O$5="A",Inputs_Actuals!O281,N13+0*Assumptions!$F$176-O30+IF(M$5="F",M30,0)*Assumptions!$F$177)</f>
        <v>3.93416435185185</v>
      </c>
      <c r="P13" s="69" t="n">
        <f aca="false">IF(P$5="A",Inputs_Actuals!P281,O13+0*Assumptions!$F$176-P30+IF(N$5="F",N30,0)*Assumptions!$F$177)</f>
        <v>3.93443520447531</v>
      </c>
      <c r="Q13" s="69" t="n">
        <f aca="false">IF(Q$5="A",Inputs_Actuals!Q281,P13+1*Assumptions!$F$176-Q30+IF(O$5="F",O30,0)*Assumptions!$F$177)</f>
        <v>4.93442833703061</v>
      </c>
      <c r="R13" s="69" t="n">
        <f aca="false">IF(R$5="A",Inputs_Actuals!R281,Q13+0*Assumptions!$F$176-R30+IF(P$5="F",P30,0)*Assumptions!$F$177)</f>
        <v>4.92609280382079</v>
      </c>
      <c r="S13" s="69" t="n">
        <f aca="false">IF(S$5="A",Inputs_Actuals!S281,R13+0*Assumptions!$F$176-S30+IF(Q$5="F",Q30,0)*Assumptions!$F$177)</f>
        <v>4.91782899049291</v>
      </c>
      <c r="T13" s="69" t="n">
        <f aca="false">IF(T$5="A",Inputs_Actuals!T281,S13+0*Assumptions!$F$176-T30+IF(R$5="F",R30,0)*Assumptions!$F$177)</f>
        <v>4.91796731838072</v>
      </c>
      <c r="U13" s="69" t="n">
        <f aca="false">IF(U$5="A",Inputs_Actuals!U281,T13+0*Assumptions!$F$176-U30+IF(S$5="F",S30,0)*Assumptions!$F$177)</f>
        <v>4.91803503075939</v>
      </c>
      <c r="V13" s="69" t="n">
        <f aca="false">IF(V$5="A",Inputs_Actuals!V281,U13+0*Assumptions!$F$176-V30+IF(T$5="F",T30,0)*Assumptions!$F$177)</f>
        <v>4.91803331375717</v>
      </c>
      <c r="W13" s="69" t="n">
        <f aca="false">IF(W$5="A",Inputs_Actuals!W281,V13+0*Assumptions!$F$176-W30+IF(U$5="F",U30,0)*Assumptions!$F$177)</f>
        <v>4.9180327637957</v>
      </c>
      <c r="X13" s="69" t="n">
        <f aca="false">IF(X$5="A",Inputs_Actuals!X281,W13+0*Assumptions!$F$176-X30+IF(V$5="F",V30,0)*Assumptions!$F$177)</f>
        <v>4.91803278268706</v>
      </c>
      <c r="Y13" s="69" t="n">
        <f aca="false">IF(Y$5="A",Inputs_Actuals!Y281,X13+0*Assumptions!$F$176-Y30+IF(W$5="F",W30,0)*Assumptions!$F$177)</f>
        <v>4.91803278711264</v>
      </c>
      <c r="Z13" s="69" t="n">
        <f aca="false">IF(Z$5="A",Inputs_Actuals!Z281,Y13+0*Assumptions!$F$176-Z30+IF(X$5="F",X30,0)*Assumptions!$F$177)</f>
        <v>4.91803278691834</v>
      </c>
      <c r="AA13" s="69" t="n">
        <f aca="false">IF(AA$5="A",Inputs_Actuals!AA281,Z13+0*Assumptions!$F$176-AA30+IF(Y$5="F",Y30,0)*Assumptions!$F$177)</f>
        <v>4.91803278688308</v>
      </c>
      <c r="AB13" s="69" t="n">
        <f aca="false">IF(AB$5="A",Inputs_Actuals!AB281,AA13+0*Assumptions!$F$176-AB30+IF(Z$5="F",Z30,0)*Assumptions!$F$177)</f>
        <v>4.91803278688499</v>
      </c>
    </row>
    <row r="14" customFormat="false" ht="15" hidden="false" customHeight="false" outlineLevel="0" collapsed="false">
      <c r="A14" s="28" t="s">
        <v>1075</v>
      </c>
      <c r="B14" s="63" t="s">
        <v>1070</v>
      </c>
      <c r="C14" s="68" t="n">
        <f aca="false">P14</f>
        <v>2.95082640335648</v>
      </c>
      <c r="D14" s="68" t="n">
        <f aca="false">AB14</f>
        <v>2.95081967213115</v>
      </c>
      <c r="E14" s="69" t="n">
        <f aca="false">IF(E$5="A",Inputs_Actuals!E282,Assumptions!$F$81+0*Assumptions!$F$176-E31)</f>
        <v>3</v>
      </c>
      <c r="F14" s="69" t="n">
        <f aca="false">IF(F$5="A",Inputs_Actuals!F282,E14+0*Assumptions!$F$176-F31)</f>
        <v>3</v>
      </c>
      <c r="G14" s="69" t="n">
        <f aca="false">IF(G$5="A",Inputs_Actuals!G282,F14+0*Assumptions!$F$176-G31+IF(E$5="F",E31,0)*Assumptions!$F$177)</f>
        <v>3</v>
      </c>
      <c r="H14" s="69" t="n">
        <f aca="false">IF(H$5="A",Inputs_Actuals!H282,G14+0*Assumptions!$F$176-H31+IF(F$5="F",F31,0)*Assumptions!$F$177)</f>
        <v>3</v>
      </c>
      <c r="I14" s="69" t="n">
        <f aca="false">IF(I$5="A",Inputs_Actuals!I282,H14+0*Assumptions!$F$176-I31+IF(G$5="F",G31,0)*Assumptions!$F$177)</f>
        <v>3</v>
      </c>
      <c r="J14" s="69" t="n">
        <f aca="false">IF(J$5="A",Inputs_Actuals!J282,I14+0*Assumptions!$F$176-J31+IF(H$5="F",H31,0)*Assumptions!$F$177)</f>
        <v>3</v>
      </c>
      <c r="K14" s="69" t="n">
        <f aca="false">IF(K$5="A",Inputs_Actuals!K282,J14+0*Assumptions!$F$176-K31+IF(I$5="F",I31,0)*Assumptions!$F$177)</f>
        <v>3</v>
      </c>
      <c r="L14" s="69" t="n">
        <f aca="false">IF(L$5="A",Inputs_Actuals!L282,K14+0*Assumptions!$F$176-L31+IF(J$5="F",J31,0)*Assumptions!$F$177)</f>
        <v>3</v>
      </c>
      <c r="M14" s="69" t="n">
        <f aca="false">IF(M$5="A",Inputs_Actuals!M282,L14+0*Assumptions!$F$176-M31+IF(K$5="F",K31,0)*Assumptions!$F$177)</f>
        <v>2.975</v>
      </c>
      <c r="N14" s="69" t="n">
        <f aca="false">IF(N$5="A",Inputs_Actuals!N282,M14+0*Assumptions!$F$176-N31+IF(L$5="F",L31,0)*Assumptions!$F$177)</f>
        <v>2.95020833333333</v>
      </c>
      <c r="O14" s="69" t="n">
        <f aca="false">IF(O$5="A",Inputs_Actuals!O282,N14+0*Assumptions!$F$176-O31+IF(M$5="F",M31,0)*Assumptions!$F$177)</f>
        <v>2.95062326388889</v>
      </c>
      <c r="P14" s="69" t="n">
        <f aca="false">IF(P$5="A",Inputs_Actuals!P282,O14+0*Assumptions!$F$176-P31+IF(N$5="F",N31,0)*Assumptions!$F$177)</f>
        <v>2.95082640335648</v>
      </c>
      <c r="Q14" s="69" t="n">
        <f aca="false">IF(Q$5="A",Inputs_Actuals!Q282,P14+0*Assumptions!$F$176-Q31+IF(O$5="F",O31,0)*Assumptions!$F$177)</f>
        <v>2.95082125277296</v>
      </c>
      <c r="R14" s="69" t="n">
        <f aca="false">IF(R$5="A",Inputs_Actuals!R282,Q14+0*Assumptions!$F$176-R31+IF(P$5="F",P31,0)*Assumptions!$F$177)</f>
        <v>2.95081960286559</v>
      </c>
      <c r="S14" s="69" t="n">
        <f aca="false">IF(S$5="A",Inputs_Actuals!S282,R14+0*Assumptions!$F$176-S31+IF(Q$5="F",Q31,0)*Assumptions!$F$177)</f>
        <v>2.95081965953635</v>
      </c>
      <c r="T14" s="69" t="n">
        <f aca="false">IF(T$5="A",Inputs_Actuals!T282,S14+0*Assumptions!$F$176-T31+IF(R$5="F",R31,0)*Assumptions!$F$177)</f>
        <v>2.95081967281332</v>
      </c>
      <c r="U14" s="69" t="n">
        <f aca="false">IF(U$5="A",Inputs_Actuals!U282,T14+0*Assumptions!$F$176-U31+IF(S$5="F",S31,0)*Assumptions!$F$177)</f>
        <v>2.95081967223042</v>
      </c>
      <c r="V14" s="69" t="n">
        <f aca="false">IF(V$5="A",Inputs_Actuals!V282,U14+0*Assumptions!$F$176-V31+IF(T$5="F",T31,0)*Assumptions!$F$177)</f>
        <v>2.95081967212464</v>
      </c>
      <c r="W14" s="69" t="n">
        <f aca="false">IF(W$5="A",Inputs_Actuals!W282,V14+0*Assumptions!$F$176-W31+IF(U$5="F",U31,0)*Assumptions!$F$177)</f>
        <v>2.95081967213037</v>
      </c>
      <c r="X14" s="69" t="n">
        <f aca="false">IF(X$5="A",Inputs_Actuals!X282,W14+0*Assumptions!$F$176-X31+IF(V$5="F",V31,0)*Assumptions!$F$177)</f>
        <v>2.95081967213121</v>
      </c>
      <c r="Y14" s="69" t="n">
        <f aca="false">IF(Y$5="A",Inputs_Actuals!Y282,X14+0*Assumptions!$F$176-Y31+IF(W$5="F",W31,0)*Assumptions!$F$177)</f>
        <v>2.95081967213115</v>
      </c>
      <c r="Z14" s="69" t="n">
        <f aca="false">IF(Z$5="A",Inputs_Actuals!Z282,Y14+0*Assumptions!$F$176-Z31+IF(X$5="F",X31,0)*Assumptions!$F$177)</f>
        <v>2.95081967213115</v>
      </c>
      <c r="AA14" s="69" t="n">
        <f aca="false">IF(AA$5="A",Inputs_Actuals!AA282,Z14+0*Assumptions!$F$176-AA31+IF(Y$5="F",Y31,0)*Assumptions!$F$177)</f>
        <v>2.95081967213115</v>
      </c>
      <c r="AB14" s="69" t="n">
        <f aca="false">IF(AB$5="A",Inputs_Actuals!AB282,AA14+0*Assumptions!$F$176-AB31+IF(Z$5="F",Z31,0)*Assumptions!$F$177)</f>
        <v>2.95081967213115</v>
      </c>
    </row>
    <row r="15" customFormat="false" ht="15" hidden="false" customHeight="false" outlineLevel="0" collapsed="false">
      <c r="A15" s="28" t="s">
        <v>1076</v>
      </c>
      <c r="B15" s="63" t="s">
        <v>1070</v>
      </c>
      <c r="C15" s="68" t="n">
        <f aca="false">P15</f>
        <v>7.6802677107446</v>
      </c>
      <c r="D15" s="68" t="n">
        <f aca="false">AB15</f>
        <v>8.64000000228609</v>
      </c>
      <c r="E15" s="69" t="n">
        <f aca="false">IF(E$5="A",Inputs_Actuals!E283,Assumptions!$F$82+0*Assumptions!$F$176-E32-IF(Assumptions!E$188=Assumptions!$F$180,Assumptions!$F$179*Assumptions!$G$82,0))</f>
        <v>8</v>
      </c>
      <c r="F15" s="69" t="n">
        <f aca="false">IF(F$5="A",Inputs_Actuals!F283,E15+0*Assumptions!$F$176-F32-IF(Assumptions!F$188=Assumptions!$F$180,Assumptions!$F$179*Assumptions!$G$82,0))</f>
        <v>8</v>
      </c>
      <c r="G15" s="69" t="n">
        <f aca="false">IF(G$5="A",Inputs_Actuals!G283,F15+0*Assumptions!$F$176-G32+IF(E$5="F",E32,0)*Assumptions!$F$177-IF(Assumptions!G$188=Assumptions!$F$180,Assumptions!$F$179*Assumptions!$G$82,0))</f>
        <v>8</v>
      </c>
      <c r="H15" s="69" t="n">
        <f aca="false">IF(H$5="A",Inputs_Actuals!H283,G15+0*Assumptions!$F$176-H32+IF(F$5="F",F32,0)*Assumptions!$F$177-IF(Assumptions!H$188=Assumptions!$F$180,Assumptions!$F$179*Assumptions!$G$82,0))</f>
        <v>8</v>
      </c>
      <c r="I15" s="69" t="n">
        <f aca="false">IF(I$5="A",Inputs_Actuals!I283,H15+0*Assumptions!$F$176-I32+IF(G$5="F",G32,0)*Assumptions!$F$177-IF(Assumptions!I$188=Assumptions!$F$180,Assumptions!$F$179*Assumptions!$G$82,0))</f>
        <v>9</v>
      </c>
      <c r="J15" s="69" t="n">
        <f aca="false">IF(J$5="A",Inputs_Actuals!J283,I15+0*Assumptions!$F$176-J32+IF(H$5="F",H32,0)*Assumptions!$F$177-IF(Assumptions!J$188=Assumptions!$F$180,Assumptions!$F$179*Assumptions!$G$82,0))</f>
        <v>9</v>
      </c>
      <c r="K15" s="69" t="n">
        <f aca="false">IF(K$5="A",Inputs_Actuals!K283,J15+0*Assumptions!$F$176-K32+IF(I$5="F",I32,0)*Assumptions!$F$177-IF(Assumptions!K$188=Assumptions!$F$180,Assumptions!$F$179*Assumptions!$G$82,0))</f>
        <v>9</v>
      </c>
      <c r="L15" s="69" t="n">
        <f aca="false">IF(L$5="A",Inputs_Actuals!L283,K15+0*Assumptions!$F$176-L32+IF(J$5="F",J32,0)*Assumptions!$F$177-IF(Assumptions!L$188=Assumptions!$F$180,Assumptions!$F$179*Assumptions!$G$82,0))</f>
        <v>8</v>
      </c>
      <c r="M15" s="69" t="n">
        <f aca="false">IF(M$5="A",Inputs_Actuals!M283,L15+0*Assumptions!$F$176-M32+IF(K$5="F",K32,0)*Assumptions!$F$177-IF(Assumptions!M$188=Assumptions!$F$180,Assumptions!$F$179*Assumptions!$G$82,0))</f>
        <v>7.83333333333333</v>
      </c>
      <c r="N15" s="69" t="n">
        <f aca="false">IF(N$5="A",Inputs_Actuals!N283,M15+0*Assumptions!$F$176-N32+IF(L$5="F",L32,0)*Assumptions!$F$177-IF(Assumptions!N$188=Assumptions!$F$180,Assumptions!$F$179*Assumptions!$G$82,0))</f>
        <v>7.67013888888889</v>
      </c>
      <c r="O15" s="69" t="n">
        <f aca="false">IF(O$5="A",Inputs_Actuals!O283,N15+0*Assumptions!$F$176-O32+IF(M$5="F",M32,0)*Assumptions!$F$177-IF(Assumptions!O$188=Assumptions!$F$180,Assumptions!$F$179*Assumptions!$G$82,0))</f>
        <v>7.67701099537037</v>
      </c>
      <c r="P15" s="69" t="n">
        <f aca="false">IF(P$5="A",Inputs_Actuals!P283,O15+0*Assumptions!$F$176-P32+IF(N$5="F",N32,0)*Assumptions!$F$177-IF(Assumptions!P$188=Assumptions!$F$180,Assumptions!$F$179*Assumptions!$G$82,0))</f>
        <v>7.6802677107446</v>
      </c>
      <c r="Q15" s="69" t="n">
        <f aca="false">IF(Q$5="A",Inputs_Actuals!Q283,P15+0*Assumptions!$F$176-Q32+IF(O$5="F",O32,0)*Assumptions!$F$177-IF(Assumptions!Q$188=Assumptions!$F$180,Assumptions!$F$179*Assumptions!$G$82,0))</f>
        <v>7.68005669362261</v>
      </c>
      <c r="R15" s="69" t="n">
        <f aca="false">IF(R$5="A",Inputs_Actuals!R283,Q15+0*Assumptions!$F$176-R32+IF(P$5="F",P32,0)*Assumptions!$F$177-IF(Assumptions!R$188=Assumptions!$F$180,Assumptions!$F$179*Assumptions!$G$82,0))</f>
        <v>7.67999324157568</v>
      </c>
      <c r="S15" s="69" t="n">
        <f aca="false">IF(S$5="A",Inputs_Actuals!S283,R15+1*Assumptions!$F$176-S32+IF(Q$5="F",Q32,0)*Assumptions!$F$177-IF(Assumptions!S$188=Assumptions!$F$180,Assumptions!$F$179*Assumptions!$G$82,0))</f>
        <v>8.67999895968337</v>
      </c>
      <c r="T15" s="69" t="n">
        <f aca="false">IF(T$5="A",Inputs_Actuals!T283,S15+0*Assumptions!$F$176-T32+IF(R$5="F",R32,0)*Assumptions!$F$177-IF(Assumptions!T$188=Assumptions!$F$180,Assumptions!$F$179*Assumptions!$G$82,0))</f>
        <v>8.65916682914044</v>
      </c>
      <c r="U15" s="69" t="n">
        <f aca="false">IF(U$5="A",Inputs_Actuals!U283,T15+0*Assumptions!$F$176-U32+IF(S$5="F",S32,0)*Assumptions!$F$177-IF(Assumptions!U$188=Assumptions!$F$180,Assumptions!$F$179*Assumptions!$G$82,0))</f>
        <v>8.63876737939951</v>
      </c>
      <c r="V15" s="69" t="n">
        <f aca="false">IF(V$5="A",Inputs_Actuals!V283,U15+0*Assumptions!$F$176-V32+IF(T$5="F",T32,0)*Assumptions!$F$177-IF(Assumptions!V$188=Assumptions!$F$180,Assumptions!$F$179*Assumptions!$G$82,0))</f>
        <v>8.63962637065542</v>
      </c>
      <c r="W15" s="69" t="n">
        <f aca="false">IF(W$5="A",Inputs_Actuals!W283,V15+0*Assumptions!$F$176-W32+IF(U$5="F",U32,0)*Assumptions!$F$177-IF(Assumptions!W$188=Assumptions!$F$180,Assumptions!$F$179*Assumptions!$G$82,0))</f>
        <v>8.64003346354052</v>
      </c>
      <c r="X15" s="69" t="n">
        <f aca="false">IF(X$5="A",Inputs_Actuals!X283,W15+0*Assumptions!$F$176-X32+IF(V$5="F",V32,0)*Assumptions!$F$177-IF(Assumptions!X$188=Assumptions!$F$180,Assumptions!$F$179*Assumptions!$G$82,0))</f>
        <v>8.64000708678759</v>
      </c>
      <c r="Y15" s="69" t="n">
        <f aca="false">IF(Y$5="A",Inputs_Actuals!Y283,X15+0*Assumptions!$F$176-Y32+IF(W$5="F",W32,0)*Assumptions!$F$177-IF(Assumptions!Y$188=Assumptions!$F$180,Assumptions!$F$179*Assumptions!$G$82,0))</f>
        <v>8.6399991552015</v>
      </c>
      <c r="Z15" s="69" t="n">
        <f aca="false">IF(Z$5="A",Inputs_Actuals!Z283,Y15+0*Assumptions!$F$176-Z32+IF(X$5="F",X32,0)*Assumptions!$F$177-IF(Assumptions!Z$188=Assumptions!$F$180,Assumptions!$F$179*Assumptions!$G$82,0))</f>
        <v>8.63999986995856</v>
      </c>
      <c r="AA15" s="69" t="n">
        <f aca="false">IF(AA$5="A",Inputs_Actuals!AA283,Z15+0*Assumptions!$F$176-AA32+IF(Y$5="F",Y32,0)*Assumptions!$F$177-IF(Assumptions!AA$188=Assumptions!$F$180,Assumptions!$F$179*Assumptions!$G$82,0))</f>
        <v>8.64000002030917</v>
      </c>
      <c r="AB15" s="69" t="n">
        <f aca="false">IF(AB$5="A",Inputs_Actuals!AB283,AA15+0*Assumptions!$F$176-AB32+IF(Z$5="F",Z32,0)*Assumptions!$F$177-IF(Assumptions!AB$188=Assumptions!$F$180,Assumptions!$F$179*Assumptions!$G$82,0))</f>
        <v>8.64000000228609</v>
      </c>
    </row>
    <row r="16" customFormat="false" ht="15" hidden="false" customHeight="false" outlineLevel="0" collapsed="false">
      <c r="A16" s="28" t="s">
        <v>1077</v>
      </c>
      <c r="B16" s="63" t="s">
        <v>1070</v>
      </c>
      <c r="C16" s="68" t="n">
        <f aca="false">P16</f>
        <v>5.85370327148438</v>
      </c>
      <c r="D16" s="68" t="n">
        <f aca="false">AB16</f>
        <v>6.82926829290876</v>
      </c>
      <c r="E16" s="69" t="n">
        <f aca="false">IF(E$5="A",Inputs_Actuals!E284,Assumptions!$F$83+0*Assumptions!$F$176-E33)</f>
        <v>5</v>
      </c>
      <c r="F16" s="69" t="n">
        <f aca="false">IF(F$5="A",Inputs_Actuals!F284,E16+0*Assumptions!$F$176-F33)</f>
        <v>5</v>
      </c>
      <c r="G16" s="69" t="n">
        <f aca="false">IF(G$5="A",Inputs_Actuals!G284,F16+0*Assumptions!$F$176-G33+IF(E$5="F",E33,0)*Assumptions!$F$177)</f>
        <v>5</v>
      </c>
      <c r="H16" s="69" t="n">
        <f aca="false">IF(H$5="A",Inputs_Actuals!H284,G16+0*Assumptions!$F$176-H33+IF(F$5="F",F33,0)*Assumptions!$F$177)</f>
        <v>6</v>
      </c>
      <c r="I16" s="69" t="n">
        <f aca="false">IF(I$5="A",Inputs_Actuals!I284,H16+0*Assumptions!$F$176-I33+IF(G$5="F",G33,0)*Assumptions!$F$177)</f>
        <v>6</v>
      </c>
      <c r="J16" s="69" t="n">
        <f aca="false">IF(J$5="A",Inputs_Actuals!J284,I16+0*Assumptions!$F$176-J33+IF(H$5="F",H33,0)*Assumptions!$F$177)</f>
        <v>6</v>
      </c>
      <c r="K16" s="69" t="n">
        <f aca="false">IF(K$5="A",Inputs_Actuals!K284,J16+0*Assumptions!$F$176-K33+IF(I$5="F",I33,0)*Assumptions!$F$177)</f>
        <v>6</v>
      </c>
      <c r="L16" s="69" t="n">
        <f aca="false">IF(L$5="A",Inputs_Actuals!L284,K16+0*Assumptions!$F$176-L33+IF(J$5="F",J33,0)*Assumptions!$F$177)</f>
        <v>6</v>
      </c>
      <c r="M16" s="69" t="n">
        <f aca="false">IF(M$5="A",Inputs_Actuals!M284,L16+0*Assumptions!$F$176-M33+IF(K$5="F",K33,0)*Assumptions!$F$177)</f>
        <v>5.925</v>
      </c>
      <c r="N16" s="69" t="n">
        <f aca="false">IF(N$5="A",Inputs_Actuals!N284,M16+0*Assumptions!$F$176-N33+IF(L$5="F",L33,0)*Assumptions!$F$177)</f>
        <v>5.8509375</v>
      </c>
      <c r="O16" s="69" t="n">
        <f aca="false">IF(O$5="A",Inputs_Actuals!O284,N16+0*Assumptions!$F$176-O33+IF(M$5="F",M33,0)*Assumptions!$F$177)</f>
        <v>5.85280078125</v>
      </c>
      <c r="P16" s="69" t="n">
        <f aca="false">IF(P$5="A",Inputs_Actuals!P284,O16+0*Assumptions!$F$176-P33+IF(N$5="F",N33,0)*Assumptions!$F$177)</f>
        <v>5.85370327148438</v>
      </c>
      <c r="Q16" s="69" t="n">
        <f aca="false">IF(Q$5="A",Inputs_Actuals!Q284,P16+0*Assumptions!$F$176-Q33+IF(O$5="F",O33,0)*Assumptions!$F$177)</f>
        <v>5.85366869934082</v>
      </c>
      <c r="R16" s="69" t="n">
        <f aca="false">IF(R$5="A",Inputs_Actuals!R284,Q16+0*Assumptions!$F$176-R33+IF(P$5="F",P33,0)*Assumptions!$F$177)</f>
        <v>5.85365785036469</v>
      </c>
      <c r="S16" s="69" t="n">
        <f aca="false">IF(S$5="A",Inputs_Actuals!S284,R16+1*Assumptions!$F$176-S33+IF(Q$5="F",Q33,0)*Assumptions!$F$177)</f>
        <v>6.85365841812868</v>
      </c>
      <c r="T16" s="69" t="n">
        <f aca="false">IF(T$5="A",Inputs_Actuals!T284,S16+0*Assumptions!$F$176-T33+IF(R$5="F",R33,0)*Assumptions!$F$177)</f>
        <v>6.84115854664383</v>
      </c>
      <c r="U16" s="69" t="n">
        <f aca="false">IF(U$5="A",Inputs_Actuals!U284,T16+0*Assumptions!$F$176-U33+IF(S$5="F",S33,0)*Assumptions!$F$177)</f>
        <v>6.82881478794034</v>
      </c>
      <c r="V16" s="69" t="n">
        <f aca="false">IF(V$5="A",Inputs_Actuals!V284,U16+0*Assumptions!$F$176-V33+IF(T$5="F",T33,0)*Assumptions!$F$177)</f>
        <v>6.8291253333177</v>
      </c>
      <c r="W16" s="69" t="n">
        <f aca="false">IF(W$5="A",Inputs_Actuals!W284,V16+0*Assumptions!$F$176-W33+IF(U$5="F",U33,0)*Assumptions!$F$177)</f>
        <v>6.82927574848427</v>
      </c>
      <c r="X16" s="69" t="n">
        <f aca="false">IF(X$5="A",Inputs_Actuals!X284,W16+0*Assumptions!$F$176-X33+IF(V$5="F",V33,0)*Assumptions!$F$177)</f>
        <v>6.82926998647748</v>
      </c>
      <c r="Y16" s="69" t="n">
        <f aca="false">IF(Y$5="A",Inputs_Actuals!Y284,X16+0*Assumptions!$F$176-Y33+IF(W$5="F",W33,0)*Assumptions!$F$177)</f>
        <v>6.82926817831298</v>
      </c>
      <c r="Z16" s="69" t="n">
        <f aca="false">IF(Z$5="A",Inputs_Actuals!Z284,Y16+0*Assumptions!$F$176-Z33+IF(X$5="F",X33,0)*Assumptions!$F$177)</f>
        <v>6.82926827294012</v>
      </c>
      <c r="AA16" s="69" t="n">
        <f aca="false">IF(AA$5="A",Inputs_Actuals!AA284,Z16+0*Assumptions!$F$176-AA33+IF(Y$5="F",Y33,0)*Assumptions!$F$177)</f>
        <v>6.82926829435934</v>
      </c>
      <c r="AB16" s="69" t="n">
        <f aca="false">IF(AB$5="A",Inputs_Actuals!AB284,AA16+0*Assumptions!$F$176-AB33+IF(Z$5="F",Z33,0)*Assumptions!$F$177)</f>
        <v>6.82926829290876</v>
      </c>
    </row>
    <row r="17" customFormat="false" ht="15" hidden="false" customHeight="false" outlineLevel="0" collapsed="false">
      <c r="A17" s="28" t="s">
        <v>1078</v>
      </c>
      <c r="B17" s="63" t="s">
        <v>1070</v>
      </c>
      <c r="C17" s="68" t="n">
        <f aca="false">P17</f>
        <v>6.82885952148438</v>
      </c>
      <c r="D17" s="68" t="n">
        <f aca="false">AB17</f>
        <v>7.8048780290377</v>
      </c>
      <c r="E17" s="69" t="n">
        <f aca="false">IF(E$5="A",Inputs_Actuals!E285,Assumptions!$F$84+0*Assumptions!$F$176-E34)</f>
        <v>5</v>
      </c>
      <c r="F17" s="69" t="n">
        <f aca="false">IF(F$5="A",Inputs_Actuals!F285,E17+0*Assumptions!$F$176-F34)</f>
        <v>5</v>
      </c>
      <c r="G17" s="69" t="n">
        <f aca="false">IF(G$5="A",Inputs_Actuals!G285,F17+0*Assumptions!$F$176-G34+IF(E$5="F",E34,0)*Assumptions!$F$177)</f>
        <v>5</v>
      </c>
      <c r="H17" s="69" t="n">
        <f aca="false">IF(H$5="A",Inputs_Actuals!H285,G17+0*Assumptions!$F$176-H34+IF(F$5="F",F34,0)*Assumptions!$F$177)</f>
        <v>5</v>
      </c>
      <c r="I17" s="69" t="n">
        <f aca="false">IF(I$5="A",Inputs_Actuals!I285,H17+0*Assumptions!$F$176-I34+IF(G$5="F",G34,0)*Assumptions!$F$177)</f>
        <v>5</v>
      </c>
      <c r="J17" s="69" t="n">
        <f aca="false">IF(J$5="A",Inputs_Actuals!J285,I17+0*Assumptions!$F$176-J34+IF(H$5="F",H34,0)*Assumptions!$F$177)</f>
        <v>6</v>
      </c>
      <c r="K17" s="69" t="n">
        <f aca="false">IF(K$5="A",Inputs_Actuals!K285,J17+0*Assumptions!$F$176-K34+IF(I$5="F",I34,0)*Assumptions!$F$177)</f>
        <v>6</v>
      </c>
      <c r="L17" s="69" t="n">
        <f aca="false">IF(L$5="A",Inputs_Actuals!L285,K17+0*Assumptions!$F$176-L34+IF(J$5="F",J34,0)*Assumptions!$F$177)</f>
        <v>6</v>
      </c>
      <c r="M17" s="69" t="n">
        <f aca="false">IF(M$5="A",Inputs_Actuals!M285,L17+0*Assumptions!$F$176-M34+IF(K$5="F",K34,0)*Assumptions!$F$177)</f>
        <v>5.925</v>
      </c>
      <c r="N17" s="69" t="n">
        <f aca="false">IF(N$5="A",Inputs_Actuals!N285,M17+1*Assumptions!$F$176-N34+IF(L$5="F",L34,0)*Assumptions!$F$177)</f>
        <v>6.8509375</v>
      </c>
      <c r="O17" s="69" t="n">
        <f aca="false">IF(O$5="A",Inputs_Actuals!O285,N17+0*Assumptions!$F$176-O34+IF(M$5="F",M34,0)*Assumptions!$F$177)</f>
        <v>6.84030078125</v>
      </c>
      <c r="P17" s="69" t="n">
        <f aca="false">IF(P$5="A",Inputs_Actuals!P285,O17+0*Assumptions!$F$176-P34+IF(N$5="F",N34,0)*Assumptions!$F$177)</f>
        <v>6.82885952148438</v>
      </c>
      <c r="Q17" s="69" t="n">
        <f aca="false">IF(Q$5="A",Inputs_Actuals!Q285,P17+0*Assumptions!$F$176-Q34+IF(O$5="F",O34,0)*Assumptions!$F$177)</f>
        <v>6.82913549621582</v>
      </c>
      <c r="R17" s="69" t="n">
        <f aca="false">IF(R$5="A",Inputs_Actuals!R285,Q17+0*Assumptions!$F$176-R34+IF(P$5="F",P34,0)*Assumptions!$F$177)</f>
        <v>6.82927506227875</v>
      </c>
      <c r="S17" s="69" t="n">
        <f aca="false">IF(S$5="A",Inputs_Actuals!S285,R17+0*Assumptions!$F$176-S34+IF(Q$5="F",Q34,0)*Assumptions!$F$177)</f>
        <v>6.82926986801882</v>
      </c>
      <c r="T17" s="69" t="n">
        <f aca="false">IF(T$5="A",Inputs_Actuals!T285,S17+0*Assumptions!$F$176-T34+IF(R$5="F",R34,0)*Assumptions!$F$177)</f>
        <v>6.82926818837128</v>
      </c>
      <c r="U17" s="69" t="n">
        <f aca="false">IF(U$5="A",Inputs_Actuals!U285,T17+1*Assumptions!$F$176-U34+IF(S$5="F",S34,0)*Assumptions!$F$177)</f>
        <v>7.82926827429512</v>
      </c>
      <c r="V17" s="69" t="n">
        <f aca="false">IF(V$5="A",Inputs_Actuals!V285,U17+0*Assumptions!$F$176-V34+IF(T$5="F",T34,0)*Assumptions!$F$177)</f>
        <v>7.81676829421667</v>
      </c>
      <c r="W17" s="69" t="n">
        <f aca="false">IF(W$5="A",Inputs_Actuals!W285,V17+0*Assumptions!$F$176-W34+IF(U$5="F",U34,0)*Assumptions!$F$177)</f>
        <v>7.8044245428936</v>
      </c>
      <c r="X17" s="69" t="n">
        <f aca="false">IF(X$5="A",Inputs_Actuals!X285,W17+0*Assumptions!$F$176-X34+IF(V$5="F",V34,0)*Assumptions!$F$177)</f>
        <v>7.80473508953612</v>
      </c>
      <c r="Y17" s="69" t="n">
        <f aca="false">IF(Y$5="A",Inputs_Actuals!Y285,X17+0*Assumptions!$F$176-Y34+IF(W$5="F",W34,0)*Assumptions!$F$177)</f>
        <v>7.80488550459463</v>
      </c>
      <c r="Z17" s="69" t="n">
        <f aca="false">IF(Z$5="A",Inputs_Actuals!Z285,Y17+0*Assumptions!$F$176-Z34+IF(X$5="F",X34,0)*Assumptions!$F$177)</f>
        <v>7.80487974257337</v>
      </c>
      <c r="AA17" s="69" t="n">
        <f aca="false">IF(AA$5="A",Inputs_Actuals!AA285,Z17+0*Assumptions!$F$176-AA34+IF(Y$5="F",Y34,0)*Assumptions!$F$177)</f>
        <v>7.8048779344104</v>
      </c>
      <c r="AB17" s="69" t="n">
        <f aca="false">IF(AB$5="A",Inputs_Actuals!AB285,AA17+0*Assumptions!$F$176-AB34+IF(Z$5="F",Z34,0)*Assumptions!$F$177)</f>
        <v>7.8048780290377</v>
      </c>
    </row>
    <row r="18" customFormat="false" ht="15" hidden="false" customHeight="false" outlineLevel="0" collapsed="false">
      <c r="A18" s="28" t="s">
        <v>1079</v>
      </c>
      <c r="B18" s="63" t="s">
        <v>1070</v>
      </c>
      <c r="C18" s="68" t="n">
        <f aca="false">P18</f>
        <v>0.960033463843075</v>
      </c>
      <c r="D18" s="68" t="n">
        <f aca="false">AB18</f>
        <v>0.960000000000005</v>
      </c>
      <c r="E18" s="69" t="n">
        <f aca="false">IF(E$5="A",Inputs_Actuals!E286,Assumptions!$F$85+0*Assumptions!$F$176-E35)</f>
        <v>1</v>
      </c>
      <c r="F18" s="69" t="n">
        <f aca="false">IF(F$5="A",Inputs_Actuals!F286,E18+0*Assumptions!$F$176-F35)</f>
        <v>1</v>
      </c>
      <c r="G18" s="69" t="n">
        <f aca="false">IF(G$5="A",Inputs_Actuals!G286,F18+0*Assumptions!$F$176-G35+IF(E$5="F",E35,0)*Assumptions!$F$177)</f>
        <v>1</v>
      </c>
      <c r="H18" s="69" t="n">
        <f aca="false">IF(H$5="A",Inputs_Actuals!H286,G18+0*Assumptions!$F$176-H35+IF(F$5="F",F35,0)*Assumptions!$F$177)</f>
        <v>1</v>
      </c>
      <c r="I18" s="69" t="n">
        <f aca="false">IF(I$5="A",Inputs_Actuals!I286,H18+0*Assumptions!$F$176-I35+IF(G$5="F",G35,0)*Assumptions!$F$177)</f>
        <v>1</v>
      </c>
      <c r="J18" s="69" t="n">
        <f aca="false">IF(J$5="A",Inputs_Actuals!J286,I18+0*Assumptions!$F$176-J35+IF(H$5="F",H35,0)*Assumptions!$F$177)</f>
        <v>1</v>
      </c>
      <c r="K18" s="69" t="n">
        <f aca="false">IF(K$5="A",Inputs_Actuals!K286,J18+0*Assumptions!$F$176-K35+IF(I$5="F",I35,0)*Assumptions!$F$177)</f>
        <v>1</v>
      </c>
      <c r="L18" s="69" t="n">
        <f aca="false">IF(L$5="A",Inputs_Actuals!L286,K18+0*Assumptions!$F$176-L35+IF(J$5="F",J35,0)*Assumptions!$F$177)</f>
        <v>1</v>
      </c>
      <c r="M18" s="69" t="n">
        <f aca="false">IF(M$5="A",Inputs_Actuals!M286,L18+0*Assumptions!$F$176-M35+IF(K$5="F",K35,0)*Assumptions!$F$177)</f>
        <v>0.979166666666667</v>
      </c>
      <c r="N18" s="69" t="n">
        <f aca="false">IF(N$5="A",Inputs_Actuals!N286,M18+0*Assumptions!$F$176-N35+IF(L$5="F",L35,0)*Assumptions!$F$177)</f>
        <v>0.958767361111111</v>
      </c>
      <c r="O18" s="69" t="n">
        <f aca="false">IF(O$5="A",Inputs_Actuals!O286,N18+0*Assumptions!$F$176-O35+IF(M$5="F",M35,0)*Assumptions!$F$177)</f>
        <v>0.959626374421296</v>
      </c>
      <c r="P18" s="69" t="n">
        <f aca="false">IF(P$5="A",Inputs_Actuals!P286,O18+0*Assumptions!$F$176-P35+IF(N$5="F",N35,0)*Assumptions!$F$177)</f>
        <v>0.960033463843075</v>
      </c>
      <c r="Q18" s="69" t="n">
        <f aca="false">IF(Q$5="A",Inputs_Actuals!Q286,P18+0*Assumptions!$F$176-Q35+IF(O$5="F",O35,0)*Assumptions!$F$177)</f>
        <v>0.960007086702826</v>
      </c>
      <c r="R18" s="69" t="n">
        <f aca="false">IF(R$5="A",Inputs_Actuals!R286,Q18+0*Assumptions!$F$176-R35+IF(P$5="F",P35,0)*Assumptions!$F$177)</f>
        <v>0.95999915519696</v>
      </c>
      <c r="S18" s="69" t="n">
        <f aca="false">IF(S$5="A",Inputs_Actuals!S286,R18+0*Assumptions!$F$176-S35+IF(Q$5="F",Q35,0)*Assumptions!$F$177)</f>
        <v>0.959999869960421</v>
      </c>
      <c r="T18" s="69" t="n">
        <f aca="false">IF(T$5="A",Inputs_Actuals!T286,S18+0*Assumptions!$F$176-T35+IF(R$5="F",R35,0)*Assumptions!$F$177)</f>
        <v>0.960000020309221</v>
      </c>
      <c r="U18" s="69" t="n">
        <f aca="false">IF(U$5="A",Inputs_Actuals!U286,T18+0*Assumptions!$F$176-U35+IF(S$5="F",S35,0)*Assumptions!$F$177)</f>
        <v>0.960000002286049</v>
      </c>
      <c r="V18" s="69" t="n">
        <f aca="false">IF(V$5="A",Inputs_Actuals!V286,U18+0*Assumptions!$F$176-V35+IF(T$5="F",T35,0)*Assumptions!$F$177)</f>
        <v>0.959999999529265</v>
      </c>
      <c r="W18" s="69" t="n">
        <f aca="false">IF(W$5="A",Inputs_Actuals!W286,V18+0*Assumptions!$F$176-W35+IF(U$5="F",U35,0)*Assumptions!$F$177)</f>
        <v>0.959999999962181</v>
      </c>
      <c r="X18" s="69" t="n">
        <f aca="false">IF(X$5="A",Inputs_Actuals!X286,W18+0*Assumptions!$F$176-X35+IF(V$5="F",V35,0)*Assumptions!$F$177)</f>
        <v>0.960000000010595</v>
      </c>
      <c r="Y18" s="69" t="n">
        <f aca="false">IF(Y$5="A",Inputs_Actuals!Y286,X18+0*Assumptions!$F$176-Y35+IF(W$5="F",W35,0)*Assumptions!$F$177)</f>
        <v>0.960000000000567</v>
      </c>
      <c r="Z18" s="69" t="n">
        <f aca="false">IF(Z$5="A",Inputs_Actuals!Z286,Y18+0*Assumptions!$F$176-Z35+IF(X$5="F",X35,0)*Assumptions!$F$177)</f>
        <v>0.959999999999768</v>
      </c>
      <c r="AA18" s="69" t="n">
        <f aca="false">IF(AA$5="A",Inputs_Actuals!AA286,Z18+0*Assumptions!$F$176-AA35+IF(Y$5="F",Y35,0)*Assumptions!$F$177)</f>
        <v>0.959999999999993</v>
      </c>
      <c r="AB18" s="69" t="n">
        <f aca="false">IF(AB$5="A",Inputs_Actuals!AB286,AA18+0*Assumptions!$F$176-AB35+IF(Z$5="F",Z35,0)*Assumptions!$F$177)</f>
        <v>0.960000000000005</v>
      </c>
    </row>
    <row r="19" customFormat="false" ht="15" hidden="false" customHeight="false" outlineLevel="0" collapsed="false">
      <c r="A19" s="28" t="s">
        <v>1080</v>
      </c>
      <c r="B19" s="63" t="s">
        <v>1070</v>
      </c>
      <c r="C19" s="68" t="n">
        <f aca="false">P19</f>
        <v>8.65943437741127</v>
      </c>
      <c r="D19" s="68" t="n">
        <f aca="false">AB19</f>
        <v>10.559999999925</v>
      </c>
      <c r="E19" s="69" t="n">
        <f aca="false">IF(E$5="A",Inputs_Actuals!E287,Assumptions!$F$86+0*Assumptions!$F$176-E36)</f>
        <v>8</v>
      </c>
      <c r="F19" s="69" t="n">
        <f aca="false">IF(F$5="A",Inputs_Actuals!F287,E19+0*Assumptions!$F$176-F36)</f>
        <v>8</v>
      </c>
      <c r="G19" s="69" t="n">
        <f aca="false">IF(G$5="A",Inputs_Actuals!G287,F19+0*Assumptions!$F$176-G36+IF(E$5="F",E36,0)*Assumptions!$F$177)</f>
        <v>8</v>
      </c>
      <c r="H19" s="69" t="n">
        <f aca="false">IF(H$5="A",Inputs_Actuals!H287,G19+0*Assumptions!$F$176-H36+IF(F$5="F",F36,0)*Assumptions!$F$177)</f>
        <v>9</v>
      </c>
      <c r="I19" s="69" t="n">
        <f aca="false">IF(I$5="A",Inputs_Actuals!I287,H19+0*Assumptions!$F$176-I36+IF(G$5="F",G36,0)*Assumptions!$F$177)</f>
        <v>9</v>
      </c>
      <c r="J19" s="69" t="n">
        <f aca="false">IF(J$5="A",Inputs_Actuals!J287,I19+0*Assumptions!$F$176-J36+IF(H$5="F",H36,0)*Assumptions!$F$177)</f>
        <v>9</v>
      </c>
      <c r="K19" s="69" t="n">
        <f aca="false">IF(K$5="A",Inputs_Actuals!K287,J19+0*Assumptions!$F$176-K36+IF(I$5="F",I36,0)*Assumptions!$F$177)</f>
        <v>9</v>
      </c>
      <c r="L19" s="69" t="n">
        <f aca="false">IF(L$5="A",Inputs_Actuals!L287,K19+0*Assumptions!$F$176-L36+IF(J$5="F",J36,0)*Assumptions!$F$177)</f>
        <v>8</v>
      </c>
      <c r="M19" s="69" t="n">
        <f aca="false">IF(M$5="A",Inputs_Actuals!M287,L19+0*Assumptions!$F$176-M36+IF(K$5="F",K36,0)*Assumptions!$F$177)</f>
        <v>7.83333333333333</v>
      </c>
      <c r="N19" s="69" t="n">
        <f aca="false">IF(N$5="A",Inputs_Actuals!N287,M19+0*Assumptions!$F$176-N36+IF(L$5="F",L36,0)*Assumptions!$F$177)</f>
        <v>7.67013888888889</v>
      </c>
      <c r="O19" s="69" t="n">
        <f aca="false">IF(O$5="A",Inputs_Actuals!O287,N19+1*Assumptions!$F$176-O36+IF(M$5="F",M36,0)*Assumptions!$F$177)</f>
        <v>8.67701099537037</v>
      </c>
      <c r="P19" s="69" t="n">
        <f aca="false">IF(P$5="A",Inputs_Actuals!P287,O19+0*Assumptions!$F$176-P36+IF(N$5="F",N36,0)*Assumptions!$F$177)</f>
        <v>8.65943437741127</v>
      </c>
      <c r="Q19" s="69" t="n">
        <f aca="false">IF(Q$5="A",Inputs_Actuals!Q287,P19+2*Assumptions!$F$176-Q36+IF(O$5="F",O36,0)*Assumptions!$F$177)</f>
        <v>10.6388240547337</v>
      </c>
      <c r="R19" s="69" t="n">
        <f aca="false">IF(R$5="A",Inputs_Actuals!R287,Q19+0*Assumptions!$F$176-R36+IF(P$5="F",P36,0)*Assumptions!$F$177)</f>
        <v>10.5979529493303</v>
      </c>
      <c r="S19" s="69" t="n">
        <f aca="false">IF(S$5="A",Inputs_Actuals!S287,R19+0*Assumptions!$F$176-S36+IF(Q$5="F",Q36,0)*Assumptions!$F$177)</f>
        <v>10.5575671457487</v>
      </c>
      <c r="T19" s="69" t="n">
        <f aca="false">IF(T$5="A",Inputs_Actuals!T287,S19+0*Assumptions!$F$176-T36+IF(R$5="F",R36,0)*Assumptions!$F$177)</f>
        <v>10.5592599980192</v>
      </c>
      <c r="U19" s="69" t="n">
        <f aca="false">IF(U$5="A",Inputs_Actuals!U287,T19+0*Assumptions!$F$176-U36+IF(S$5="F",S36,0)*Assumptions!$F$177)</f>
        <v>10.5600661011715</v>
      </c>
      <c r="V19" s="69" t="n">
        <f aca="false">IF(V$5="A",Inputs_Actuals!V287,U19+0*Assumptions!$F$176-V36+IF(T$5="F",T36,0)*Assumptions!$F$177)</f>
        <v>10.5600140396002</v>
      </c>
      <c r="W19" s="69" t="n">
        <f aca="false">IF(W$5="A",Inputs_Actuals!W287,V19+0*Assumptions!$F$176-W36+IF(U$5="F",U36,0)*Assumptions!$F$177)</f>
        <v>10.5599983304006</v>
      </c>
      <c r="X19" s="69" t="n">
        <f aca="false">IF(X$5="A",Inputs_Actuals!X287,W19+0*Assumptions!$F$176-X36+IF(V$5="F",V36,0)*Assumptions!$F$177)</f>
        <v>10.5599997422917</v>
      </c>
      <c r="Y19" s="69" t="n">
        <f aca="false">IF(Y$5="A",Inputs_Actuals!Y287,X19+0*Assumptions!$F$176-Y36+IF(W$5="F",W36,0)*Assumptions!$F$177)</f>
        <v>10.5600000401522</v>
      </c>
      <c r="Z19" s="69" t="n">
        <f aca="false">IF(Z$5="A",Inputs_Actuals!Z287,Y19+0*Assumptions!$F$176-Z36+IF(X$5="F",X36,0)*Assumptions!$F$177)</f>
        <v>10.5600000045324</v>
      </c>
      <c r="AA19" s="69" t="n">
        <f aca="false">IF(AA$5="A",Inputs_Actuals!AA287,Z19+0*Assumptions!$F$176-AA36+IF(Y$5="F",Y36,0)*Assumptions!$F$177)</f>
        <v>10.5599999990691</v>
      </c>
      <c r="AB19" s="69" t="n">
        <f aca="false">IF(AB$5="A",Inputs_Actuals!AB287,AA19+0*Assumptions!$F$176-AB36+IF(Z$5="F",Z36,0)*Assumptions!$F$177)</f>
        <v>10.559999999925</v>
      </c>
    </row>
    <row r="20" customFormat="false" ht="15" hidden="false" customHeight="false" outlineLevel="0" collapsed="false">
      <c r="A20" s="28" t="s">
        <v>1081</v>
      </c>
      <c r="B20" s="63" t="s">
        <v>1070</v>
      </c>
      <c r="C20" s="68" t="n">
        <f aca="false">P20</f>
        <v>5.76020078305845</v>
      </c>
      <c r="D20" s="68" t="n">
        <f aca="false">AB20</f>
        <v>6.71999986996045</v>
      </c>
      <c r="E20" s="69" t="n">
        <f aca="false">IF(E$5="A",Inputs_Actuals!E288,Assumptions!$F$87+0*Assumptions!$F$176-E37-IF(Assumptions!E$188=Assumptions!$F$180,Assumptions!$F$179*Assumptions!$G$87,0))</f>
        <v>5</v>
      </c>
      <c r="F20" s="69" t="n">
        <f aca="false">IF(F$5="A",Inputs_Actuals!F288,E20+0*Assumptions!$F$176-F37-IF(Assumptions!F$188=Assumptions!$F$180,Assumptions!$F$179*Assumptions!$G$87,0))</f>
        <v>5</v>
      </c>
      <c r="G20" s="69" t="n">
        <f aca="false">IF(G$5="A",Inputs_Actuals!G288,F20+0*Assumptions!$F$176-G37+IF(E$5="F",E37,0)*Assumptions!$F$177-IF(Assumptions!G$188=Assumptions!$F$180,Assumptions!$F$179*Assumptions!$G$87,0))</f>
        <v>6</v>
      </c>
      <c r="H20" s="69" t="n">
        <f aca="false">IF(H$5="A",Inputs_Actuals!H288,G20+0*Assumptions!$F$176-H37+IF(F$5="F",F37,0)*Assumptions!$F$177-IF(Assumptions!H$188=Assumptions!$F$180,Assumptions!$F$179*Assumptions!$G$87,0))</f>
        <v>6</v>
      </c>
      <c r="I20" s="69" t="n">
        <f aca="false">IF(I$5="A",Inputs_Actuals!I288,H20+0*Assumptions!$F$176-I37+IF(G$5="F",G37,0)*Assumptions!$F$177-IF(Assumptions!I$188=Assumptions!$F$180,Assumptions!$F$179*Assumptions!$G$87,0))</f>
        <v>6</v>
      </c>
      <c r="J20" s="69" t="n">
        <f aca="false">IF(J$5="A",Inputs_Actuals!J288,I20+0*Assumptions!$F$176-J37+IF(H$5="F",H37,0)*Assumptions!$F$177-IF(Assumptions!J$188=Assumptions!$F$180,Assumptions!$F$179*Assumptions!$G$87,0))</f>
        <v>6</v>
      </c>
      <c r="K20" s="69" t="n">
        <f aca="false">IF(K$5="A",Inputs_Actuals!K288,J20+0*Assumptions!$F$176-K37+IF(I$5="F",I37,0)*Assumptions!$F$177-IF(Assumptions!K$188=Assumptions!$F$180,Assumptions!$F$179*Assumptions!$G$87,0))</f>
        <v>6</v>
      </c>
      <c r="L20" s="69" t="n">
        <f aca="false">IF(L$5="A",Inputs_Actuals!L288,K20+0*Assumptions!$F$176-L37+IF(J$5="F",J37,0)*Assumptions!$F$177-IF(Assumptions!L$188=Assumptions!$F$180,Assumptions!$F$179*Assumptions!$G$87,0))</f>
        <v>6</v>
      </c>
      <c r="M20" s="69" t="n">
        <f aca="false">IF(M$5="A",Inputs_Actuals!M288,L20+0*Assumptions!$F$176-M37+IF(K$5="F",K37,0)*Assumptions!$F$177-IF(Assumptions!M$188=Assumptions!$F$180,Assumptions!$F$179*Assumptions!$G$87,0))</f>
        <v>5.875</v>
      </c>
      <c r="N20" s="69" t="n">
        <f aca="false">IF(N$5="A",Inputs_Actuals!N288,M20+0*Assumptions!$F$176-N37+IF(L$5="F",L37,0)*Assumptions!$F$177-IF(Assumptions!N$188=Assumptions!$F$180,Assumptions!$F$179*Assumptions!$G$87,0))</f>
        <v>5.75260416666667</v>
      </c>
      <c r="O20" s="69" t="n">
        <f aca="false">IF(O$5="A",Inputs_Actuals!O288,N20+0*Assumptions!$F$176-O37+IF(M$5="F",M37,0)*Assumptions!$F$177-IF(Assumptions!O$188=Assumptions!$F$180,Assumptions!$F$179*Assumptions!$G$87,0))</f>
        <v>5.75775824652778</v>
      </c>
      <c r="P20" s="69" t="n">
        <f aca="false">IF(P$5="A",Inputs_Actuals!P288,O20+0*Assumptions!$F$176-P37+IF(N$5="F",N37,0)*Assumptions!$F$177-IF(Assumptions!P$188=Assumptions!$F$180,Assumptions!$F$179*Assumptions!$G$87,0))</f>
        <v>5.76020078305845</v>
      </c>
      <c r="Q20" s="69" t="n">
        <f aca="false">IF(Q$5="A",Inputs_Actuals!Q288,P20+0*Assumptions!$F$176-Q37+IF(O$5="F",O37,0)*Assumptions!$F$177-IF(Assumptions!Q$188=Assumptions!$F$180,Assumptions!$F$179*Assumptions!$G$87,0))</f>
        <v>5.76004252021695</v>
      </c>
      <c r="R20" s="69" t="n">
        <f aca="false">IF(R$5="A",Inputs_Actuals!R288,Q20+0*Assumptions!$F$176-R37+IF(P$5="F",P37,0)*Assumptions!$F$177-IF(Assumptions!R$188=Assumptions!$F$180,Assumptions!$F$179*Assumptions!$G$87,0))</f>
        <v>5.75999493118176</v>
      </c>
      <c r="S20" s="69" t="n">
        <f aca="false">IF(S$5="A",Inputs_Actuals!S288,R20+0*Assumptions!$F$176-S37+IF(Q$5="F",Q37,0)*Assumptions!$F$177-IF(Assumptions!S$188=Assumptions!$F$180,Assumptions!$F$179*Assumptions!$G$87,0))</f>
        <v>5.75999921976253</v>
      </c>
      <c r="T20" s="69" t="n">
        <f aca="false">IF(T$5="A",Inputs_Actuals!T288,S20+0*Assumptions!$F$176-T37+IF(R$5="F",R37,0)*Assumptions!$F$177-IF(Assumptions!T$188=Assumptions!$F$180,Assumptions!$F$179*Assumptions!$G$87,0))</f>
        <v>5.76000012185533</v>
      </c>
      <c r="U20" s="69" t="n">
        <f aca="false">IF(U$5="A",Inputs_Actuals!U288,T20+1*Assumptions!$F$176-U37+IF(S$5="F",S37,0)*Assumptions!$F$177-IF(Assumptions!U$188=Assumptions!$F$180,Assumptions!$F$179*Assumptions!$G$87,0))</f>
        <v>6.76000001371629</v>
      </c>
      <c r="V20" s="69" t="n">
        <f aca="false">IF(V$5="A",Inputs_Actuals!V288,U20+0*Assumptions!$F$176-V37+IF(T$5="F",T37,0)*Assumptions!$F$177-IF(Assumptions!V$188=Assumptions!$F$180,Assumptions!$F$179*Assumptions!$G$87,0))</f>
        <v>6.73916666384226</v>
      </c>
      <c r="W20" s="69" t="n">
        <f aca="false">IF(W$5="A",Inputs_Actuals!W288,V20+0*Assumptions!$F$176-W37+IF(U$5="F",U37,0)*Assumptions!$F$177-IF(Assumptions!W$188=Assumptions!$F$180,Assumptions!$F$179*Assumptions!$G$87,0))</f>
        <v>6.7187673608842</v>
      </c>
      <c r="X20" s="69" t="n">
        <f aca="false">IF(X$5="A",Inputs_Actuals!X288,W20+0*Assumptions!$F$176-X37+IF(V$5="F",V37,0)*Assumptions!$F$177-IF(Assumptions!X$188=Assumptions!$F$180,Assumptions!$F$179*Assumptions!$G$87,0))</f>
        <v>6.71962637448487</v>
      </c>
      <c r="Y20" s="69" t="n">
        <f aca="false">IF(Y$5="A",Inputs_Actuals!Y288,X20+0*Assumptions!$F$176-Y37+IF(W$5="F",W37,0)*Assumptions!$F$177-IF(Assumptions!Y$188=Assumptions!$F$180,Assumptions!$F$179*Assumptions!$G$87,0))</f>
        <v>6.72003346384648</v>
      </c>
      <c r="Z20" s="69" t="n">
        <f aca="false">IF(Z$5="A",Inputs_Actuals!Z288,Y20+0*Assumptions!$F$176-Z37+IF(X$5="F",X37,0)*Assumptions!$F$177-IF(Assumptions!Z$188=Assumptions!$F$180,Assumptions!$F$179*Assumptions!$G$87,0))</f>
        <v>6.72000708670143</v>
      </c>
      <c r="AA20" s="69" t="n">
        <f aca="false">IF(AA$5="A",Inputs_Actuals!AA288,Z20+0*Assumptions!$F$176-AA37+IF(Y$5="F",Y37,0)*Assumptions!$F$177-IF(Assumptions!AA$188=Assumptions!$F$180,Assumptions!$F$179*Assumptions!$G$87,0))</f>
        <v>6.71999915519692</v>
      </c>
      <c r="AB20" s="69" t="n">
        <f aca="false">IF(AB$5="A",Inputs_Actuals!AB288,AA20+0*Assumptions!$F$176-AB37+IF(Z$5="F",Z37,0)*Assumptions!$F$177-IF(Assumptions!AB$188=Assumptions!$F$180,Assumptions!$F$179*Assumptions!$G$87,0))</f>
        <v>6.71999986996045</v>
      </c>
    </row>
    <row r="21" customFormat="false" ht="15" hidden="false" customHeight="false" outlineLevel="0" collapsed="false">
      <c r="A21" s="28" t="s">
        <v>1082</v>
      </c>
      <c r="B21" s="63" t="s">
        <v>1070</v>
      </c>
      <c r="C21" s="68" t="n">
        <f aca="false">P21</f>
        <v>6.82932048339844</v>
      </c>
      <c r="D21" s="68" t="n">
        <f aca="false">AB21</f>
        <v>7.80487804877796</v>
      </c>
      <c r="E21" s="69" t="n">
        <f aca="false">IF(E$5="A",Inputs_Actuals!E289,Assumptions!$F$88+0*Assumptions!$F$176-E38-IF(Assumptions!E$188=Assumptions!$F$180,Assumptions!$F$179*Assumptions!$G$88,0))</f>
        <v>6</v>
      </c>
      <c r="F21" s="69" t="n">
        <f aca="false">IF(F$5="A",Inputs_Actuals!F289,E21+0*Assumptions!$F$176-F38-IF(Assumptions!F$188=Assumptions!$F$180,Assumptions!$F$179*Assumptions!$G$88,0))</f>
        <v>7</v>
      </c>
      <c r="G21" s="69" t="n">
        <f aca="false">IF(G$5="A",Inputs_Actuals!G289,F21+0*Assumptions!$F$176-G38+IF(E$5="F",E38,0)*Assumptions!$F$177-IF(Assumptions!G$188=Assumptions!$F$180,Assumptions!$F$179*Assumptions!$G$88,0))</f>
        <v>7</v>
      </c>
      <c r="H21" s="69" t="n">
        <f aca="false">IF(H$5="A",Inputs_Actuals!H289,G21+0*Assumptions!$F$176-H38+IF(F$5="F",F38,0)*Assumptions!$F$177-IF(Assumptions!H$188=Assumptions!$F$180,Assumptions!$F$179*Assumptions!$G$88,0))</f>
        <v>7</v>
      </c>
      <c r="I21" s="69" t="n">
        <f aca="false">IF(I$5="A",Inputs_Actuals!I289,H21+0*Assumptions!$F$176-I38+IF(G$5="F",G38,0)*Assumptions!$F$177-IF(Assumptions!I$188=Assumptions!$F$180,Assumptions!$F$179*Assumptions!$G$88,0))</f>
        <v>7</v>
      </c>
      <c r="J21" s="69" t="n">
        <f aca="false">IF(J$5="A",Inputs_Actuals!J289,I21+0*Assumptions!$F$176-J38+IF(H$5="F",H38,0)*Assumptions!$F$177-IF(Assumptions!J$188=Assumptions!$F$180,Assumptions!$F$179*Assumptions!$G$88,0))</f>
        <v>7</v>
      </c>
      <c r="K21" s="69" t="n">
        <f aca="false">IF(K$5="A",Inputs_Actuals!K289,J21+0*Assumptions!$F$176-K38+IF(I$5="F",I38,0)*Assumptions!$F$177-IF(Assumptions!K$188=Assumptions!$F$180,Assumptions!$F$179*Assumptions!$G$88,0))</f>
        <v>7</v>
      </c>
      <c r="L21" s="69" t="n">
        <f aca="false">IF(L$5="A",Inputs_Actuals!L289,K21+0*Assumptions!$F$176-L38+IF(J$5="F",J38,0)*Assumptions!$F$177-IF(Assumptions!L$188=Assumptions!$F$180,Assumptions!$F$179*Assumptions!$G$88,0))</f>
        <v>7</v>
      </c>
      <c r="M21" s="69" t="n">
        <f aca="false">IF(M$5="A",Inputs_Actuals!M289,L21+0*Assumptions!$F$176-M38+IF(K$5="F",K38,0)*Assumptions!$F$177-IF(Assumptions!M$188=Assumptions!$F$180,Assumptions!$F$179*Assumptions!$G$88,0))</f>
        <v>6.9125</v>
      </c>
      <c r="N21" s="69" t="n">
        <f aca="false">IF(N$5="A",Inputs_Actuals!N289,M21+0*Assumptions!$F$176-N38+IF(L$5="F",L38,0)*Assumptions!$F$177-IF(Assumptions!N$188=Assumptions!$F$180,Assumptions!$F$179*Assumptions!$G$88,0))</f>
        <v>6.82609375</v>
      </c>
      <c r="O21" s="69" t="n">
        <f aca="false">IF(O$5="A",Inputs_Actuals!O289,N21+0*Assumptions!$F$176-O38+IF(M$5="F",M38,0)*Assumptions!$F$177-IF(Assumptions!O$188=Assumptions!$F$180,Assumptions!$F$179*Assumptions!$G$88,0))</f>
        <v>6.828267578125</v>
      </c>
      <c r="P21" s="69" t="n">
        <f aca="false">IF(P$5="A",Inputs_Actuals!P289,O21+0*Assumptions!$F$176-P38+IF(N$5="F",N38,0)*Assumptions!$F$177-IF(Assumptions!P$188=Assumptions!$F$180,Assumptions!$F$179*Assumptions!$G$88,0))</f>
        <v>6.82932048339844</v>
      </c>
      <c r="Q21" s="69" t="n">
        <f aca="false">IF(Q$5="A",Inputs_Actuals!Q289,P21+1*Assumptions!$F$176-Q38+IF(O$5="F",O38,0)*Assumptions!$F$177-IF(Assumptions!Q$188=Assumptions!$F$180,Assumptions!$F$179*Assumptions!$G$88,0))</f>
        <v>7.82928014923096</v>
      </c>
      <c r="R21" s="69" t="n">
        <f aca="false">IF(R$5="A",Inputs_Actuals!R289,Q21+0*Assumptions!$F$176-R38+IF(P$5="F",P38,0)*Assumptions!$F$177-IF(Assumptions!R$188=Assumptions!$F$180,Assumptions!$F$179*Assumptions!$G$88,0))</f>
        <v>7.81676749209213</v>
      </c>
      <c r="S21" s="69" t="n">
        <f aca="false">IF(S$5="A",Inputs_Actuals!S289,R21+0*Assumptions!$F$176-S38+IF(Q$5="F",Q38,0)*Assumptions!$F$177-IF(Assumptions!S$188=Assumptions!$F$180,Assumptions!$F$179*Assumptions!$G$88,0))</f>
        <v>7.80442440448346</v>
      </c>
      <c r="T21" s="69" t="n">
        <f aca="false">IF(T$5="A",Inputs_Actuals!T289,S21+0*Assumptions!$F$176-T38+IF(R$5="F",R38,0)*Assumptions!$F$177-IF(Assumptions!T$188=Assumptions!$F$180,Assumptions!$F$179*Assumptions!$G$88,0))</f>
        <v>7.80473510129281</v>
      </c>
      <c r="U21" s="69" t="n">
        <f aca="false">IF(U$5="A",Inputs_Actuals!U289,T21+0*Assumptions!$F$176-U38+IF(S$5="F",S38,0)*Assumptions!$F$177-IF(Assumptions!U$188=Assumptions!$F$180,Assumptions!$F$179*Assumptions!$G$88,0))</f>
        <v>7.8048855061778</v>
      </c>
      <c r="V21" s="69" t="n">
        <f aca="false">IF(V$5="A",Inputs_Actuals!V289,U21+0*Assumptions!$F$176-V38+IF(T$5="F",T38,0)*Assumptions!$F$177-IF(Assumptions!V$188=Assumptions!$F$180,Assumptions!$F$179*Assumptions!$G$88,0))</f>
        <v>7.80487974240662</v>
      </c>
      <c r="W21" s="69" t="n">
        <f aca="false">IF(W$5="A",Inputs_Actuals!W289,V21+0*Assumptions!$F$176-W38+IF(U$5="F",U38,0)*Assumptions!$F$177-IF(Assumptions!W$188=Assumptions!$F$180,Assumptions!$F$179*Assumptions!$G$88,0))</f>
        <v>7.80487793439269</v>
      </c>
      <c r="X21" s="69" t="n">
        <f aca="false">IF(X$5="A",Inputs_Actuals!X289,W21+0*Assumptions!$F$176-X38+IF(V$5="F",V38,0)*Assumptions!$F$177-IF(Assumptions!X$188=Assumptions!$F$180,Assumptions!$F$179*Assumptions!$G$88,0))</f>
        <v>7.80487802904001</v>
      </c>
      <c r="Y21" s="69" t="n">
        <f aca="false">IF(Y$5="A",Inputs_Actuals!Y289,X21+0*Assumptions!$F$176-Y38+IF(W$5="F",W38,0)*Assumptions!$F$177-IF(Assumptions!Y$188=Assumptions!$F$180,Assumptions!$F$179*Assumptions!$G$88,0))</f>
        <v>7.80487805045709</v>
      </c>
      <c r="Z21" s="69" t="n">
        <f aca="false">IF(Z$5="A",Inputs_Actuals!Z289,Y21+0*Assumptions!$F$176-Z38+IF(X$5="F",X38,0)*Assumptions!$F$177-IF(Assumptions!Z$188=Assumptions!$F$180,Assumptions!$F$179*Assumptions!$G$88,0))</f>
        <v>7.80487804900629</v>
      </c>
      <c r="AA21" s="69" t="n">
        <f aca="false">IF(AA$5="A",Inputs_Actuals!AA289,Z21+0*Assumptions!$F$176-AA38+IF(Y$5="F",Y38,0)*Assumptions!$F$177-IF(Assumptions!AA$188=Assumptions!$F$180,Assumptions!$F$179*Assumptions!$G$88,0))</f>
        <v>7.80487804875671</v>
      </c>
      <c r="AB21" s="69" t="n">
        <f aca="false">IF(AB$5="A",Inputs_Actuals!AB289,AA21+0*Assumptions!$F$176-AB38+IF(Z$5="F",Z38,0)*Assumptions!$F$177-IF(Assumptions!AB$188=Assumptions!$F$180,Assumptions!$F$179*Assumptions!$G$88,0))</f>
        <v>7.80487804877796</v>
      </c>
    </row>
    <row r="22" customFormat="false" ht="15" hidden="false" customHeight="false" outlineLevel="0" collapsed="false">
      <c r="A22" s="28" t="s">
        <v>1083</v>
      </c>
      <c r="B22" s="63" t="s">
        <v>1070</v>
      </c>
      <c r="C22" s="68" t="n">
        <f aca="false">P22</f>
        <v>1.97368652246914</v>
      </c>
      <c r="D22" s="68" t="n">
        <f aca="false">AB22</f>
        <v>1.97368421052632</v>
      </c>
      <c r="E22" s="69" t="n">
        <f aca="false">IF(E$5="A",Inputs_Actuals!E290,Assumptions!$F$89+0*Assumptions!$F$176-E39)</f>
        <v>2</v>
      </c>
      <c r="F22" s="69" t="n">
        <f aca="false">IF(F$5="A",Inputs_Actuals!F290,E22+0*Assumptions!$F$176-F39)</f>
        <v>2</v>
      </c>
      <c r="G22" s="69" t="n">
        <f aca="false">IF(G$5="A",Inputs_Actuals!G290,F22+0*Assumptions!$F$176-G39+IF(E$5="F",E39,0)*Assumptions!$F$177)</f>
        <v>2</v>
      </c>
      <c r="H22" s="69" t="n">
        <f aca="false">IF(H$5="A",Inputs_Actuals!H290,G22+0*Assumptions!$F$176-H39+IF(F$5="F",F39,0)*Assumptions!$F$177)</f>
        <v>2</v>
      </c>
      <c r="I22" s="69" t="n">
        <f aca="false">IF(I$5="A",Inputs_Actuals!I290,H22+0*Assumptions!$F$176-I39+IF(G$5="F",G39,0)*Assumptions!$F$177)</f>
        <v>2</v>
      </c>
      <c r="J22" s="69" t="n">
        <f aca="false">IF(J$5="A",Inputs_Actuals!J290,I22+0*Assumptions!$F$176-J39+IF(H$5="F",H39,0)*Assumptions!$F$177)</f>
        <v>2</v>
      </c>
      <c r="K22" s="69" t="n">
        <f aca="false">IF(K$5="A",Inputs_Actuals!K290,J22+0*Assumptions!$F$176-K39+IF(I$5="F",I39,0)*Assumptions!$F$177)</f>
        <v>2</v>
      </c>
      <c r="L22" s="69" t="n">
        <f aca="false">IF(L$5="A",Inputs_Actuals!L290,K22+0*Assumptions!$F$176-L39+IF(J$5="F",J39,0)*Assumptions!$F$177)</f>
        <v>2</v>
      </c>
      <c r="M22" s="69" t="n">
        <f aca="false">IF(M$5="A",Inputs_Actuals!M290,L22+0*Assumptions!$F$176-M39+IF(K$5="F",K39,0)*Assumptions!$F$177)</f>
        <v>1.98666666666667</v>
      </c>
      <c r="N22" s="69" t="n">
        <f aca="false">IF(N$5="A",Inputs_Actuals!N290,M22+0*Assumptions!$F$176-N39+IF(L$5="F",L39,0)*Assumptions!$F$177)</f>
        <v>1.97342222222222</v>
      </c>
      <c r="O22" s="69" t="n">
        <f aca="false">IF(O$5="A",Inputs_Actuals!O290,N22+0*Assumptions!$F$176-O39+IF(M$5="F",M39,0)*Assumptions!$F$177)</f>
        <v>1.97359940740741</v>
      </c>
      <c r="P22" s="69" t="n">
        <f aca="false">IF(P$5="A",Inputs_Actuals!P290,O22+0*Assumptions!$F$176-P39+IF(N$5="F",N39,0)*Assumptions!$F$177)</f>
        <v>1.97368652246914</v>
      </c>
      <c r="Q22" s="69" t="n">
        <f aca="false">IF(Q$5="A",Inputs_Actuals!Q290,P22+0*Assumptions!$F$176-Q39+IF(O$5="F",O39,0)*Assumptions!$F$177)</f>
        <v>1.97368476046749</v>
      </c>
      <c r="R22" s="69" t="n">
        <f aca="false">IF(R$5="A",Inputs_Actuals!R290,Q22+0*Assumptions!$F$176-R39+IF(P$5="F",P39,0)*Assumptions!$F$177)</f>
        <v>1.97368419144709</v>
      </c>
      <c r="S22" s="69" t="n">
        <f aca="false">IF(S$5="A",Inputs_Actuals!S290,R22+0*Assumptions!$F$176-S39+IF(Q$5="F",Q39,0)*Assumptions!$F$177)</f>
        <v>1.97368420698724</v>
      </c>
      <c r="T22" s="69" t="n">
        <f aca="false">IF(T$5="A",Inputs_Actuals!T290,S22+0*Assumptions!$F$176-T39+IF(R$5="F",R39,0)*Assumptions!$F$177)</f>
        <v>1.9736842106771</v>
      </c>
      <c r="U22" s="69" t="n">
        <f aca="false">IF(U$5="A",Inputs_Actuals!U290,T22+0*Assumptions!$F$176-U39+IF(S$5="F",S39,0)*Assumptions!$F$177)</f>
        <v>1.9736842105489</v>
      </c>
      <c r="V22" s="69" t="n">
        <f aca="false">IF(V$5="A",Inputs_Actuals!V290,U22+0*Assumptions!$F$176-V39+IF(T$5="F",T39,0)*Assumptions!$F$177)</f>
        <v>1.97368421052516</v>
      </c>
      <c r="W22" s="69" t="n">
        <f aca="false">IF(W$5="A",Inputs_Actuals!W290,V22+0*Assumptions!$F$176-W39+IF(U$5="F",U39,0)*Assumptions!$F$177)</f>
        <v>1.97368421052617</v>
      </c>
      <c r="X22" s="69" t="n">
        <f aca="false">IF(X$5="A",Inputs_Actuals!X290,W22+0*Assumptions!$F$176-X39+IF(V$5="F",V39,0)*Assumptions!$F$177)</f>
        <v>1.97368421052632</v>
      </c>
      <c r="Y22" s="69" t="n">
        <f aca="false">IF(Y$5="A",Inputs_Actuals!Y290,X22+0*Assumptions!$F$176-Y39+IF(W$5="F",W39,0)*Assumptions!$F$177)</f>
        <v>1.97368421052632</v>
      </c>
      <c r="Z22" s="69" t="n">
        <f aca="false">IF(Z$5="A",Inputs_Actuals!Z290,Y22+0*Assumptions!$F$176-Z39+IF(X$5="F",X39,0)*Assumptions!$F$177)</f>
        <v>1.97368421052632</v>
      </c>
      <c r="AA22" s="69" t="n">
        <f aca="false">IF(AA$5="A",Inputs_Actuals!AA290,Z22+0*Assumptions!$F$176-AA39+IF(Y$5="F",Y39,0)*Assumptions!$F$177)</f>
        <v>1.97368421052632</v>
      </c>
      <c r="AB22" s="69" t="n">
        <f aca="false">IF(AB$5="A",Inputs_Actuals!AB290,AA22+0*Assumptions!$F$176-AB39+IF(Z$5="F",Z39,0)*Assumptions!$F$177)</f>
        <v>1.97368421052632</v>
      </c>
    </row>
    <row r="23" customFormat="false" ht="15" hidden="false" customHeight="false" outlineLevel="0" collapsed="false">
      <c r="A23" s="28" t="s">
        <v>1084</v>
      </c>
      <c r="B23" s="63" t="s">
        <v>1070</v>
      </c>
      <c r="C23" s="68" t="n">
        <f aca="false">P23</f>
        <v>4.93421630617284</v>
      </c>
      <c r="D23" s="68" t="n">
        <f aca="false">AB23</f>
        <v>4.93421052631579</v>
      </c>
      <c r="E23" s="69" t="n">
        <f aca="false">IF(E$5="A",Inputs_Actuals!E291,Assumptions!$F$90+0*Assumptions!$F$176-E40)</f>
        <v>5</v>
      </c>
      <c r="F23" s="69" t="n">
        <f aca="false">IF(F$5="A",Inputs_Actuals!F291,E23+0*Assumptions!$F$176-F40)</f>
        <v>5</v>
      </c>
      <c r="G23" s="69" t="n">
        <f aca="false">IF(G$5="A",Inputs_Actuals!G291,F23+0*Assumptions!$F$176-G40+IF(E$5="F",E40,0)*Assumptions!$F$177)</f>
        <v>5</v>
      </c>
      <c r="H23" s="69" t="n">
        <f aca="false">IF(H$5="A",Inputs_Actuals!H291,G23+0*Assumptions!$F$176-H40+IF(F$5="F",F40,0)*Assumptions!$F$177)</f>
        <v>5</v>
      </c>
      <c r="I23" s="69" t="n">
        <f aca="false">IF(I$5="A",Inputs_Actuals!I291,H23+0*Assumptions!$F$176-I40+IF(G$5="F",G40,0)*Assumptions!$F$177)</f>
        <v>5</v>
      </c>
      <c r="J23" s="69" t="n">
        <f aca="false">IF(J$5="A",Inputs_Actuals!J291,I23+0*Assumptions!$F$176-J40+IF(H$5="F",H40,0)*Assumptions!$F$177)</f>
        <v>5</v>
      </c>
      <c r="K23" s="69" t="n">
        <f aca="false">IF(K$5="A",Inputs_Actuals!K291,J23+0*Assumptions!$F$176-K40+IF(I$5="F",I40,0)*Assumptions!$F$177)</f>
        <v>5</v>
      </c>
      <c r="L23" s="69" t="n">
        <f aca="false">IF(L$5="A",Inputs_Actuals!L291,K23+0*Assumptions!$F$176-L40+IF(J$5="F",J40,0)*Assumptions!$F$177)</f>
        <v>5</v>
      </c>
      <c r="M23" s="69" t="n">
        <f aca="false">IF(M$5="A",Inputs_Actuals!M291,L23+0*Assumptions!$F$176-M40+IF(K$5="F",K40,0)*Assumptions!$F$177)</f>
        <v>4.96666666666667</v>
      </c>
      <c r="N23" s="69" t="n">
        <f aca="false">IF(N$5="A",Inputs_Actuals!N291,M23+0*Assumptions!$F$176-N40+IF(L$5="F",L40,0)*Assumptions!$F$177)</f>
        <v>4.93355555555556</v>
      </c>
      <c r="O23" s="69" t="n">
        <f aca="false">IF(O$5="A",Inputs_Actuals!O291,N23+0*Assumptions!$F$176-O40+IF(M$5="F",M40,0)*Assumptions!$F$177)</f>
        <v>4.93399851851852</v>
      </c>
      <c r="P23" s="69" t="n">
        <f aca="false">IF(P$5="A",Inputs_Actuals!P291,O23+0*Assumptions!$F$176-P40+IF(N$5="F",N40,0)*Assumptions!$F$177)</f>
        <v>4.93421630617284</v>
      </c>
      <c r="Q23" s="69" t="n">
        <f aca="false">IF(Q$5="A",Inputs_Actuals!Q291,P23+0*Assumptions!$F$176-Q40+IF(O$5="F",O40,0)*Assumptions!$F$177)</f>
        <v>4.93421190116873</v>
      </c>
      <c r="R23" s="69" t="n">
        <f aca="false">IF(R$5="A",Inputs_Actuals!R291,Q23+0*Assumptions!$F$176-R40+IF(P$5="F",P40,0)*Assumptions!$F$177)</f>
        <v>4.93421047861772</v>
      </c>
      <c r="S23" s="69" t="n">
        <f aca="false">IF(S$5="A",Inputs_Actuals!S291,R23+0*Assumptions!$F$176-S40+IF(Q$5="F",Q40,0)*Assumptions!$F$177)</f>
        <v>4.93421051746809</v>
      </c>
      <c r="T23" s="69" t="n">
        <f aca="false">IF(T$5="A",Inputs_Actuals!T291,S23+0*Assumptions!$F$176-T40+IF(R$5="F",R40,0)*Assumptions!$F$177)</f>
        <v>4.93421052669276</v>
      </c>
      <c r="U23" s="69" t="n">
        <f aca="false">IF(U$5="A",Inputs_Actuals!U291,T23+0*Assumptions!$F$176-U40+IF(S$5="F",S40,0)*Assumptions!$F$177)</f>
        <v>4.93421052637226</v>
      </c>
      <c r="V23" s="69" t="n">
        <f aca="false">IF(V$5="A",Inputs_Actuals!V291,U23+0*Assumptions!$F$176-V40+IF(T$5="F",T40,0)*Assumptions!$F$177)</f>
        <v>4.9342105263129</v>
      </c>
      <c r="W23" s="69" t="n">
        <f aca="false">IF(W$5="A",Inputs_Actuals!W291,V23+0*Assumptions!$F$176-W40+IF(U$5="F",U40,0)*Assumptions!$F$177)</f>
        <v>4.93421052631543</v>
      </c>
      <c r="X23" s="69" t="n">
        <f aca="false">IF(X$5="A",Inputs_Actuals!X291,W23+0*Assumptions!$F$176-X40+IF(V$5="F",V40,0)*Assumptions!$F$177)</f>
        <v>4.93421052631581</v>
      </c>
      <c r="Y23" s="69" t="n">
        <f aca="false">IF(Y$5="A",Inputs_Actuals!Y291,X23+0*Assumptions!$F$176-Y40+IF(W$5="F",W40,0)*Assumptions!$F$177)</f>
        <v>4.93421052631579</v>
      </c>
      <c r="Z23" s="69" t="n">
        <f aca="false">IF(Z$5="A",Inputs_Actuals!Z291,Y23+0*Assumptions!$F$176-Z40+IF(X$5="F",X40,0)*Assumptions!$F$177)</f>
        <v>4.93421052631579</v>
      </c>
      <c r="AA23" s="69" t="n">
        <f aca="false">IF(AA$5="A",Inputs_Actuals!AA291,Z23+0*Assumptions!$F$176-AA40+IF(Y$5="F",Y40,0)*Assumptions!$F$177)</f>
        <v>4.93421052631579</v>
      </c>
      <c r="AB23" s="69" t="n">
        <f aca="false">IF(AB$5="A",Inputs_Actuals!AB291,AA23+0*Assumptions!$F$176-AB40+IF(Z$5="F",Z40,0)*Assumptions!$F$177)</f>
        <v>4.93421052631579</v>
      </c>
    </row>
    <row r="24" customFormat="false" ht="15" hidden="false" customHeight="false" outlineLevel="0" collapsed="false">
      <c r="A24" s="59" t="s">
        <v>1085</v>
      </c>
      <c r="B24" s="60"/>
      <c r="C24" s="82" t="n">
        <f aca="false">P24</f>
        <v>88.7179553678983</v>
      </c>
      <c r="D24" s="82" t="n">
        <f aca="false">AB24</f>
        <v>102.330879243233</v>
      </c>
      <c r="E24" s="82" t="n">
        <f aca="false">SUM(E9:E23)</f>
        <v>81</v>
      </c>
      <c r="F24" s="82" t="n">
        <f aca="false">SUM(F9:F23)</f>
        <v>83</v>
      </c>
      <c r="G24" s="82" t="n">
        <f aca="false">SUM(G9:G23)</f>
        <v>85</v>
      </c>
      <c r="H24" s="82" t="n">
        <f aca="false">SUM(H9:H23)</f>
        <v>87</v>
      </c>
      <c r="I24" s="82" t="n">
        <f aca="false">SUM(I9:I23)</f>
        <v>89</v>
      </c>
      <c r="J24" s="82" t="n">
        <f aca="false">SUM(J9:J23)</f>
        <v>90</v>
      </c>
      <c r="K24" s="82" t="n">
        <f aca="false">SUM(K9:K23)</f>
        <v>90</v>
      </c>
      <c r="L24" s="82" t="n">
        <f aca="false">SUM(L9:L23)</f>
        <v>88</v>
      </c>
      <c r="M24" s="82" t="n">
        <f aca="false">SUM(M9:M23)</f>
        <v>87.8583333333333</v>
      </c>
      <c r="N24" s="82" t="n">
        <f aca="false">SUM(N9:N23)</f>
        <v>87.7236152777778</v>
      </c>
      <c r="O24" s="82" t="n">
        <f aca="false">SUM(O9:O23)</f>
        <v>88.7348292939815</v>
      </c>
      <c r="P24" s="82" t="n">
        <f aca="false">SUM(P9:P23)</f>
        <v>88.7179553678983</v>
      </c>
      <c r="Q24" s="82" t="n">
        <f aca="false">SUM(Q9:Q23)</f>
        <v>95.6971345583035</v>
      </c>
      <c r="R24" s="82" t="n">
        <f aca="false">SUM(R9:R23)</f>
        <v>95.6053883095035</v>
      </c>
      <c r="S24" s="82" t="n">
        <f aca="false">SUM(S9:S23)</f>
        <v>97.5147021186952</v>
      </c>
      <c r="T24" s="82" t="n">
        <f aca="false">SUM(T9:T23)</f>
        <v>98.4841087201044</v>
      </c>
      <c r="U24" s="82" t="n">
        <f aca="false">SUM(U9:U23)</f>
        <v>100.442680714454</v>
      </c>
      <c r="V24" s="82" t="n">
        <f aca="false">SUM(V9:V23)</f>
        <v>100.400548492333</v>
      </c>
      <c r="W24" s="82" t="n">
        <f aca="false">SUM(W9:W23)</f>
        <v>100.36854105797</v>
      </c>
      <c r="X24" s="82" t="n">
        <f aca="false">SUM(X9:X23)</f>
        <v>100.369777131982</v>
      </c>
      <c r="Y24" s="82" t="n">
        <f aca="false">SUM(Y9:Y23)</f>
        <v>102.370322287288</v>
      </c>
      <c r="Z24" s="82" t="n">
        <f aca="false">SUM(Z9:Z23)</f>
        <v>102.3502899783</v>
      </c>
      <c r="AA24" s="82" t="n">
        <f aca="false">SUM(AA9:AA23)</f>
        <v>102.330480443405</v>
      </c>
      <c r="AB24" s="82" t="n">
        <f aca="false">SUM(AB9:AB23)</f>
        <v>102.330879243233</v>
      </c>
    </row>
    <row r="25" customFormat="false" ht="15" hidden="false" customHeight="false" outlineLevel="0" collapsed="false">
      <c r="A25" s="22" t="s">
        <v>1086</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row>
    <row r="26" customFormat="false" ht="15" hidden="false" customHeight="false" outlineLevel="0" collapsed="false">
      <c r="A26" s="28" t="s">
        <v>1069</v>
      </c>
      <c r="B26" s="63" t="s">
        <v>1087</v>
      </c>
      <c r="C26" s="68" t="n">
        <f aca="false">SUM(E26:P26)</f>
        <v>0.11851197</v>
      </c>
      <c r="D26" s="68" t="n">
        <f aca="false">SUM(Q26:AB26)</f>
        <v>0.352941317197232</v>
      </c>
      <c r="E26" s="69" t="n">
        <f aca="false">IF(E$5="A",0,Assumptions!$F$76*Assumptions!$C$92/12*Assumptions!$F$178)</f>
        <v>0</v>
      </c>
      <c r="F26" s="69" t="n">
        <f aca="false">IF(F$5="A",0,E9*Assumptions!$C$92/12*Assumptions!$F$178)</f>
        <v>0</v>
      </c>
      <c r="G26" s="69" t="n">
        <f aca="false">IF(G$5="A",0,F9*Assumptions!$C$92/12*Assumptions!$F$178)</f>
        <v>0</v>
      </c>
      <c r="H26" s="69" t="n">
        <f aca="false">IF(H$5="A",0,G9*Assumptions!$C$92/12*Assumptions!$F$178)</f>
        <v>0</v>
      </c>
      <c r="I26" s="69" t="n">
        <f aca="false">IF(I$5="A",0,H9*Assumptions!$C$92/12*Assumptions!$F$178)</f>
        <v>0</v>
      </c>
      <c r="J26" s="69" t="n">
        <f aca="false">IF(J$5="A",0,I9*Assumptions!$C$92/12*Assumptions!$F$178)</f>
        <v>0</v>
      </c>
      <c r="K26" s="69" t="n">
        <f aca="false">IF(K$5="A",0,J9*Assumptions!$C$92/12*Assumptions!$F$178)</f>
        <v>0</v>
      </c>
      <c r="L26" s="69" t="n">
        <f aca="false">IF(L$5="A",0,K9*Assumptions!$C$92/12*Assumptions!$F$178)</f>
        <v>0</v>
      </c>
      <c r="M26" s="69" t="n">
        <f aca="false">IF(M$5="A",0,L9*Assumptions!$C$92/12*Assumptions!$F$178)</f>
        <v>0.03</v>
      </c>
      <c r="N26" s="69" t="n">
        <f aca="false">IF(N$5="A",0,M9*Assumptions!$C$92/12*Assumptions!$F$178)</f>
        <v>0.0297</v>
      </c>
      <c r="O26" s="69" t="n">
        <f aca="false">IF(O$5="A",0,N9*Assumptions!$C$92/12*Assumptions!$F$178)</f>
        <v>0.029403</v>
      </c>
      <c r="P26" s="69" t="n">
        <f aca="false">IF(P$5="A",0,O9*Assumptions!$C$92/12*Assumptions!$F$178)</f>
        <v>0.02940897</v>
      </c>
      <c r="Q26" s="69" t="n">
        <f aca="false">IF(Q$5="A",0,P9*Assumptions!$C$92/12*Assumptions!$F$178)</f>
        <v>0.0294118803</v>
      </c>
      <c r="R26" s="69" t="n">
        <f aca="false">IF(R$5="A",0,Q9*Assumptions!$C$92/12*Assumptions!$F$178)</f>
        <v>0.029411791497</v>
      </c>
      <c r="S26" s="69" t="n">
        <f aca="false">IF(S$5="A",0,R9*Assumptions!$C$92/12*Assumptions!$F$178)</f>
        <v>0.02941176328203</v>
      </c>
      <c r="T26" s="69" t="n">
        <f aca="false">IF(T$5="A",0,S9*Assumptions!$C$92/12*Assumptions!$F$178)</f>
        <v>0.0294117644522097</v>
      </c>
      <c r="U26" s="69" t="n">
        <f aca="false">IF(U$5="A",0,T9*Assumptions!$C$92/12*Assumptions!$F$178)</f>
        <v>0.0294117647226576</v>
      </c>
      <c r="V26" s="69" t="n">
        <f aca="false">IF(V$5="A",0,U9*Assumptions!$C$92/12*Assumptions!$F$178)</f>
        <v>0.0294117647082513</v>
      </c>
      <c r="W26" s="69" t="n">
        <f aca="false">IF(W$5="A",0,V9*Assumptions!$C$92/12*Assumptions!$F$178)</f>
        <v>0.0294117647056909</v>
      </c>
      <c r="X26" s="69" t="n">
        <f aca="false">IF(X$5="A",0,W9*Assumptions!$C$92/12*Assumptions!$F$178)</f>
        <v>0.0294117647058606</v>
      </c>
      <c r="Y26" s="69" t="n">
        <f aca="false">IF(Y$5="A",0,X9*Assumptions!$C$92/12*Assumptions!$F$178)</f>
        <v>0.0294117647058845</v>
      </c>
      <c r="Z26" s="69" t="n">
        <f aca="false">IF(Z$5="A",0,Y9*Assumptions!$C$92/12*Assumptions!$F$178)</f>
        <v>0.0294117647058826</v>
      </c>
      <c r="AA26" s="69" t="n">
        <f aca="false">IF(AA$5="A",0,Z9*Assumptions!$C$92/12*Assumptions!$F$178)</f>
        <v>0.0294117647058823</v>
      </c>
      <c r="AB26" s="69" t="n">
        <f aca="false">IF(AB$5="A",0,AA9*Assumptions!$C$92/12*Assumptions!$F$178)</f>
        <v>0.0294117647058824</v>
      </c>
    </row>
    <row r="27" customFormat="false" ht="15" hidden="false" customHeight="false" outlineLevel="0" collapsed="false">
      <c r="A27" s="28" t="s">
        <v>1071</v>
      </c>
      <c r="B27" s="63" t="s">
        <v>1087</v>
      </c>
      <c r="C27" s="68" t="n">
        <f aca="false">SUM(E27:P27)</f>
        <v>0.3950399</v>
      </c>
      <c r="D27" s="68" t="n">
        <f aca="false">SUM(Q27:AB27)</f>
        <v>1.39273403310267</v>
      </c>
      <c r="E27" s="69" t="n">
        <f aca="false">IF(E$5="A",0,Assumptions!$F$77*Assumptions!$C$92/12*Assumptions!$F$178)</f>
        <v>0</v>
      </c>
      <c r="F27" s="69" t="n">
        <f aca="false">IF(F$5="A",0,E10*Assumptions!$C$92/12*Assumptions!$F$178)</f>
        <v>0</v>
      </c>
      <c r="G27" s="69" t="n">
        <f aca="false">IF(G$5="A",0,F10*Assumptions!$C$92/12*Assumptions!$F$178)</f>
        <v>0</v>
      </c>
      <c r="H27" s="69" t="n">
        <f aca="false">IF(H$5="A",0,G10*Assumptions!$C$92/12*Assumptions!$F$178)</f>
        <v>0</v>
      </c>
      <c r="I27" s="69" t="n">
        <f aca="false">IF(I$5="A",0,H10*Assumptions!$C$92/12*Assumptions!$F$178)</f>
        <v>0</v>
      </c>
      <c r="J27" s="69" t="n">
        <f aca="false">IF(J$5="A",0,I10*Assumptions!$C$92/12*Assumptions!$F$178)</f>
        <v>0</v>
      </c>
      <c r="K27" s="69" t="n">
        <f aca="false">IF(K$5="A",0,J10*Assumptions!$C$92/12*Assumptions!$F$178)</f>
        <v>0</v>
      </c>
      <c r="L27" s="69" t="n">
        <f aca="false">IF(L$5="A",0,K10*Assumptions!$C$92/12*Assumptions!$F$178)</f>
        <v>0</v>
      </c>
      <c r="M27" s="69" t="n">
        <f aca="false">IF(M$5="A",0,L10*Assumptions!$C$92/12*Assumptions!$F$178)</f>
        <v>0.1</v>
      </c>
      <c r="N27" s="69" t="n">
        <f aca="false">IF(N$5="A",0,M10*Assumptions!$C$92/12*Assumptions!$F$178)</f>
        <v>0.099</v>
      </c>
      <c r="O27" s="69" t="n">
        <f aca="false">IF(O$5="A",0,N10*Assumptions!$C$92/12*Assumptions!$F$178)</f>
        <v>0.09801</v>
      </c>
      <c r="P27" s="69" t="n">
        <f aca="false">IF(P$5="A",0,O10*Assumptions!$C$92/12*Assumptions!$F$178)</f>
        <v>0.0980299</v>
      </c>
      <c r="Q27" s="69" t="n">
        <f aca="false">IF(Q$5="A",0,P10*Assumptions!$C$92/12*Assumptions!$F$178)</f>
        <v>0.098039601</v>
      </c>
      <c r="R27" s="69" t="n">
        <f aca="false">IF(R$5="A",0,Q10*Assumptions!$C$92/12*Assumptions!$F$178)</f>
        <v>0.11803930499</v>
      </c>
      <c r="S27" s="69" t="n">
        <f aca="false">IF(S$5="A",0,R10*Assumptions!$C$92/12*Assumptions!$F$178)</f>
        <v>0.1178392109401</v>
      </c>
      <c r="T27" s="69" t="n">
        <f aca="false">IF(T$5="A",0,S10*Assumptions!$C$92/12*Assumptions!$F$178)</f>
        <v>0.117641214840699</v>
      </c>
      <c r="U27" s="69" t="n">
        <f aca="false">IF(U$5="A",0,T10*Assumptions!$C$92/12*Assumptions!$F$178)</f>
        <v>0.117645195742192</v>
      </c>
      <c r="V27" s="69" t="n">
        <f aca="false">IF(V$5="A",0,U10*Assumptions!$C$92/12*Assumptions!$F$178)</f>
        <v>0.117647135894171</v>
      </c>
      <c r="W27" s="69" t="n">
        <f aca="false">IF(W$5="A",0,V10*Assumptions!$C$92/12*Assumptions!$F$178)</f>
        <v>0.117647076683636</v>
      </c>
      <c r="X27" s="69" t="n">
        <f aca="false">IF(X$5="A",0,W10*Assumptions!$C$92/12*Assumptions!$F$178)</f>
        <v>0.117647057874222</v>
      </c>
      <c r="Y27" s="69" t="n">
        <f aca="false">IF(Y$5="A",0,X10*Assumptions!$C$92/12*Assumptions!$F$178)</f>
        <v>0.117647058654421</v>
      </c>
      <c r="Z27" s="69" t="n">
        <f aca="false">IF(Z$5="A",0,Y10*Assumptions!$C$92/12*Assumptions!$F$178)</f>
        <v>0.117647058834714</v>
      </c>
      <c r="AA27" s="69" t="n">
        <f aca="false">IF(AA$5="A",0,Z10*Assumptions!$C$92/12*Assumptions!$F$178)</f>
        <v>0.117647058825109</v>
      </c>
      <c r="AB27" s="69" t="n">
        <f aca="false">IF(AB$5="A",0,AA10*Assumptions!$C$92/12*Assumptions!$F$178)</f>
        <v>0.117647058823402</v>
      </c>
    </row>
    <row r="28" customFormat="false" ht="15" hidden="false" customHeight="false" outlineLevel="0" collapsed="false">
      <c r="A28" s="28" t="s">
        <v>1072</v>
      </c>
      <c r="B28" s="63" t="s">
        <v>1087</v>
      </c>
      <c r="C28" s="68" t="n">
        <f aca="false">SUM(E28:P28)</f>
        <v>0.54325287</v>
      </c>
      <c r="D28" s="68" t="n">
        <f aca="false">SUM(Q28:AB28)</f>
        <v>1.83390975975148</v>
      </c>
      <c r="E28" s="69" t="n">
        <f aca="false">IF(E$5="A",0,Assumptions!$F$78*Assumptions!$C$92/12*Assumptions!$F$178)</f>
        <v>0</v>
      </c>
      <c r="F28" s="69" t="n">
        <f aca="false">IF(F$5="A",0,E11*Assumptions!$C$92/12*Assumptions!$F$178)</f>
        <v>0</v>
      </c>
      <c r="G28" s="69" t="n">
        <f aca="false">IF(G$5="A",0,F11*Assumptions!$C$92/12*Assumptions!$F$178)</f>
        <v>0</v>
      </c>
      <c r="H28" s="69" t="n">
        <f aca="false">IF(H$5="A",0,G11*Assumptions!$C$92/12*Assumptions!$F$178)</f>
        <v>0</v>
      </c>
      <c r="I28" s="69" t="n">
        <f aca="false">IF(I$5="A",0,H11*Assumptions!$C$92/12*Assumptions!$F$178)</f>
        <v>0</v>
      </c>
      <c r="J28" s="69" t="n">
        <f aca="false">IF(J$5="A",0,I11*Assumptions!$C$92/12*Assumptions!$F$178)</f>
        <v>0</v>
      </c>
      <c r="K28" s="69" t="n">
        <f aca="false">IF(K$5="A",0,J11*Assumptions!$C$92/12*Assumptions!$F$178)</f>
        <v>0</v>
      </c>
      <c r="L28" s="69" t="n">
        <f aca="false">IF(L$5="A",0,K11*Assumptions!$C$92/12*Assumptions!$F$178)</f>
        <v>0</v>
      </c>
      <c r="M28" s="69" t="n">
        <f aca="false">IF(M$5="A",0,L11*Assumptions!$C$92/12*Assumptions!$F$178)</f>
        <v>0.13</v>
      </c>
      <c r="N28" s="69" t="n">
        <f aca="false">IF(N$5="A",0,M11*Assumptions!$C$92/12*Assumptions!$F$178)</f>
        <v>0.1387</v>
      </c>
      <c r="O28" s="69" t="n">
        <f aca="false">IF(O$5="A",0,N11*Assumptions!$C$92/12*Assumptions!$F$178)</f>
        <v>0.137313</v>
      </c>
      <c r="P28" s="69" t="n">
        <f aca="false">IF(P$5="A",0,O11*Assumptions!$C$92/12*Assumptions!$F$178)</f>
        <v>0.13723987</v>
      </c>
      <c r="Q28" s="69" t="n">
        <f aca="false">IF(Q$5="A",0,P11*Assumptions!$C$92/12*Assumptions!$F$178)</f>
        <v>0.1372544713</v>
      </c>
      <c r="R28" s="69" t="n">
        <f aca="false">IF(R$5="A",0,Q11*Assumptions!$C$92/12*Assumptions!$F$178)</f>
        <v>0.147255056587</v>
      </c>
      <c r="S28" s="69" t="n">
        <f aca="false">IF(S$5="A",0,R11*Assumptions!$C$92/12*Assumptions!$F$178)</f>
        <v>0.14715490472113</v>
      </c>
      <c r="T28" s="69" t="n">
        <f aca="false">IF(T$5="A",0,S11*Assumptions!$C$92/12*Assumptions!$F$178)</f>
        <v>0.147055900386919</v>
      </c>
      <c r="U28" s="69" t="n">
        <f aca="false">IF(U$5="A",0,T11*Assumptions!$C$92/12*Assumptions!$F$178)</f>
        <v>0.15705789194892</v>
      </c>
      <c r="V28" s="69" t="n">
        <f aca="false">IF(V$5="A",0,U11*Assumptions!$C$92/12*Assumptions!$F$178)</f>
        <v>0.156958862076642</v>
      </c>
      <c r="W28" s="69" t="n">
        <f aca="false">IF(W$5="A",0,V11*Assumptions!$C$92/12*Assumptions!$F$178)</f>
        <v>0.156859832459744</v>
      </c>
      <c r="X28" s="69" t="n">
        <f aca="false">IF(X$5="A",0,W11*Assumptions!$C$92/12*Assumptions!$F$178)</f>
        <v>0.156861813054636</v>
      </c>
      <c r="Y28" s="69" t="n">
        <f aca="false">IF(Y$5="A",0,X11*Assumptions!$C$92/12*Assumptions!$F$178)</f>
        <v>0.156862783544856</v>
      </c>
      <c r="Z28" s="69" t="n">
        <f aca="false">IF(Z$5="A",0,Y11*Assumptions!$C$92/12*Assumptions!$F$178)</f>
        <v>0.156862754034005</v>
      </c>
      <c r="AA28" s="69" t="n">
        <f aca="false">IF(AA$5="A",0,Z11*Assumptions!$C$92/12*Assumptions!$F$178)</f>
        <v>0.156862744624211</v>
      </c>
      <c r="AB28" s="69" t="n">
        <f aca="false">IF(AB$5="A",0,AA11*Assumptions!$C$92/12*Assumptions!$F$178)</f>
        <v>0.156862745013418</v>
      </c>
    </row>
    <row r="29" customFormat="false" ht="15" hidden="false" customHeight="false" outlineLevel="0" collapsed="false">
      <c r="A29" s="28" t="s">
        <v>1073</v>
      </c>
      <c r="B29" s="63" t="s">
        <v>1087</v>
      </c>
      <c r="C29" s="68" t="n">
        <f aca="false">SUM(E29:P29)</f>
        <v>0.23702394</v>
      </c>
      <c r="D29" s="68" t="n">
        <f aca="false">SUM(Q29:AB29)</f>
        <v>0.765284634394464</v>
      </c>
      <c r="E29" s="69" t="n">
        <f aca="false">IF(E$5="A",0,Assumptions!$F$79*Assumptions!$C$92/12*Assumptions!$F$178)</f>
        <v>0</v>
      </c>
      <c r="F29" s="69" t="n">
        <f aca="false">IF(F$5="A",0,E12*Assumptions!$C$92/12*Assumptions!$F$178)</f>
        <v>0</v>
      </c>
      <c r="G29" s="69" t="n">
        <f aca="false">IF(G$5="A",0,F12*Assumptions!$C$92/12*Assumptions!$F$178)</f>
        <v>0</v>
      </c>
      <c r="H29" s="69" t="n">
        <f aca="false">IF(H$5="A",0,G12*Assumptions!$C$92/12*Assumptions!$F$178)</f>
        <v>0</v>
      </c>
      <c r="I29" s="69" t="n">
        <f aca="false">IF(I$5="A",0,H12*Assumptions!$C$92/12*Assumptions!$F$178)</f>
        <v>0</v>
      </c>
      <c r="J29" s="69" t="n">
        <f aca="false">IF(J$5="A",0,I12*Assumptions!$C$92/12*Assumptions!$F$178)</f>
        <v>0</v>
      </c>
      <c r="K29" s="69" t="n">
        <f aca="false">IF(K$5="A",0,J12*Assumptions!$C$92/12*Assumptions!$F$178)</f>
        <v>0</v>
      </c>
      <c r="L29" s="69" t="n">
        <f aca="false">IF(L$5="A",0,K12*Assumptions!$C$92/12*Assumptions!$F$178)</f>
        <v>0</v>
      </c>
      <c r="M29" s="69" t="n">
        <f aca="false">IF(M$5="A",0,L12*Assumptions!$C$92/12*Assumptions!$F$178)</f>
        <v>0.06</v>
      </c>
      <c r="N29" s="69" t="n">
        <f aca="false">IF(N$5="A",0,M12*Assumptions!$C$92/12*Assumptions!$F$178)</f>
        <v>0.0594</v>
      </c>
      <c r="O29" s="69" t="n">
        <f aca="false">IF(O$5="A",0,N12*Assumptions!$C$92/12*Assumptions!$F$178)</f>
        <v>0.058806</v>
      </c>
      <c r="P29" s="69" t="n">
        <f aca="false">IF(P$5="A",0,O12*Assumptions!$C$92/12*Assumptions!$F$178)</f>
        <v>0.05881794</v>
      </c>
      <c r="Q29" s="69" t="n">
        <f aca="false">IF(Q$5="A",0,P12*Assumptions!$C$92/12*Assumptions!$F$178)</f>
        <v>0.0588237606</v>
      </c>
      <c r="R29" s="69" t="n">
        <f aca="false">IF(R$5="A",0,Q12*Assumptions!$C$92/12*Assumptions!$F$178)</f>
        <v>0.058823582994</v>
      </c>
      <c r="S29" s="69" t="n">
        <f aca="false">IF(S$5="A",0,R12*Assumptions!$C$92/12*Assumptions!$F$178)</f>
        <v>0.05882352656406</v>
      </c>
      <c r="T29" s="69" t="n">
        <f aca="false">IF(T$5="A",0,S12*Assumptions!$C$92/12*Assumptions!$F$178)</f>
        <v>0.0588235289044194</v>
      </c>
      <c r="U29" s="69" t="n">
        <f aca="false">IF(U$5="A",0,T12*Assumptions!$C$92/12*Assumptions!$F$178)</f>
        <v>0.0588235294453152</v>
      </c>
      <c r="V29" s="69" t="n">
        <f aca="false">IF(V$5="A",0,U12*Assumptions!$C$92/12*Assumptions!$F$178)</f>
        <v>0.0588235294165027</v>
      </c>
      <c r="W29" s="69" t="n">
        <f aca="false">IF(W$5="A",0,V12*Assumptions!$C$92/12*Assumptions!$F$178)</f>
        <v>0.0588235294113818</v>
      </c>
      <c r="X29" s="69" t="n">
        <f aca="false">IF(X$5="A",0,W12*Assumptions!$C$92/12*Assumptions!$F$178)</f>
        <v>0.0588235294117212</v>
      </c>
      <c r="Y29" s="69" t="n">
        <f aca="false">IF(Y$5="A",0,X12*Assumptions!$C$92/12*Assumptions!$F$178)</f>
        <v>0.058823529411769</v>
      </c>
      <c r="Z29" s="69" t="n">
        <f aca="false">IF(Z$5="A",0,Y12*Assumptions!$C$92/12*Assumptions!$F$178)</f>
        <v>0.0788235294117651</v>
      </c>
      <c r="AA29" s="69" t="n">
        <f aca="false">IF(AA$5="A",0,Z12*Assumptions!$C$92/12*Assumptions!$F$178)</f>
        <v>0.0786235294117647</v>
      </c>
      <c r="AB29" s="69" t="n">
        <f aca="false">IF(AB$5="A",0,AA12*Assumptions!$C$92/12*Assumptions!$F$178)</f>
        <v>0.0784255294117647</v>
      </c>
    </row>
    <row r="30" customFormat="false" ht="15" hidden="false" customHeight="false" outlineLevel="0" collapsed="false">
      <c r="A30" s="28" t="s">
        <v>1074</v>
      </c>
      <c r="B30" s="63" t="s">
        <v>1087</v>
      </c>
      <c r="C30" s="68" t="n">
        <f aca="false">SUM(E30:P30)</f>
        <v>0.13195368441358</v>
      </c>
      <c r="D30" s="68" t="n">
        <f aca="false">SUM(Q30:AB30)</f>
        <v>0.483808207550947</v>
      </c>
      <c r="E30" s="69" t="n">
        <f aca="false">IF(E$5="A",0,Assumptions!$F$80*Assumptions!$C$93/12*Assumptions!$F$178)</f>
        <v>0</v>
      </c>
      <c r="F30" s="69" t="n">
        <f aca="false">IF(F$5="A",0,E13*Assumptions!$C$93/12*Assumptions!$F$178)</f>
        <v>0</v>
      </c>
      <c r="G30" s="69" t="n">
        <f aca="false">IF(G$5="A",0,F13*Assumptions!$C$93/12*Assumptions!$F$178)</f>
        <v>0</v>
      </c>
      <c r="H30" s="69" t="n">
        <f aca="false">IF(H$5="A",0,G13*Assumptions!$C$93/12*Assumptions!$F$178)</f>
        <v>0</v>
      </c>
      <c r="I30" s="69" t="n">
        <f aca="false">IF(I$5="A",0,H13*Assumptions!$C$93/12*Assumptions!$F$178)</f>
        <v>0</v>
      </c>
      <c r="J30" s="69" t="n">
        <f aca="false">IF(J$5="A",0,I13*Assumptions!$C$93/12*Assumptions!$F$178)</f>
        <v>0</v>
      </c>
      <c r="K30" s="69" t="n">
        <f aca="false">IF(K$5="A",0,J13*Assumptions!$C$93/12*Assumptions!$F$178)</f>
        <v>0</v>
      </c>
      <c r="L30" s="69" t="n">
        <f aca="false">IF(L$5="A",0,K13*Assumptions!$C$93/12*Assumptions!$F$178)</f>
        <v>0</v>
      </c>
      <c r="M30" s="69" t="n">
        <f aca="false">IF(M$5="A",0,L13*Assumptions!$C$93/12*Assumptions!$F$178)</f>
        <v>0.0333333333333333</v>
      </c>
      <c r="N30" s="69" t="n">
        <f aca="false">IF(N$5="A",0,M13*Assumptions!$C$93/12*Assumptions!$F$178)</f>
        <v>0.0330555555555556</v>
      </c>
      <c r="O30" s="69" t="n">
        <f aca="false">IF(O$5="A",0,N13*Assumptions!$C$93/12*Assumptions!$F$178)</f>
        <v>0.0327800925925926</v>
      </c>
      <c r="P30" s="69" t="n">
        <f aca="false">IF(P$5="A",0,O13*Assumptions!$C$93/12*Assumptions!$F$178)</f>
        <v>0.0327847029320988</v>
      </c>
      <c r="Q30" s="69" t="n">
        <f aca="false">IF(Q$5="A",0,P13*Assumptions!$C$93/12*Assumptions!$F$178)</f>
        <v>0.0327869600372942</v>
      </c>
      <c r="R30" s="69" t="n">
        <f aca="false">IF(R$5="A",0,Q13*Assumptions!$C$93/12*Assumptions!$F$178)</f>
        <v>0.0411202361419217</v>
      </c>
      <c r="S30" s="69" t="n">
        <f aca="false">IF(S$5="A",0,R13*Assumptions!$C$93/12*Assumptions!$F$178)</f>
        <v>0.0410507733651732</v>
      </c>
      <c r="T30" s="69" t="n">
        <f aca="false">IF(T$5="A",0,S13*Assumptions!$C$93/12*Assumptions!$F$178)</f>
        <v>0.0409819082541075</v>
      </c>
      <c r="U30" s="69" t="n">
        <f aca="false">IF(U$5="A",0,T13*Assumptions!$C$93/12*Assumptions!$F$178)</f>
        <v>0.040983060986506</v>
      </c>
      <c r="V30" s="69" t="n">
        <f aca="false">IF(V$5="A",0,U13*Assumptions!$C$93/12*Assumptions!$F$178)</f>
        <v>0.0409836252563282</v>
      </c>
      <c r="W30" s="69" t="n">
        <f aca="false">IF(W$5="A",0,V13*Assumptions!$C$93/12*Assumptions!$F$178)</f>
        <v>0.0409836109479764</v>
      </c>
      <c r="X30" s="69" t="n">
        <f aca="false">IF(X$5="A",0,W13*Assumptions!$C$93/12*Assumptions!$F$178)</f>
        <v>0.0409836063649641</v>
      </c>
      <c r="Y30" s="69" t="n">
        <f aca="false">IF(Y$5="A",0,X13*Assumptions!$C$93/12*Assumptions!$F$178)</f>
        <v>0.0409836065223922</v>
      </c>
      <c r="Z30" s="69" t="n">
        <f aca="false">IF(Z$5="A",0,Y13*Assumptions!$C$93/12*Assumptions!$F$178)</f>
        <v>0.040983606559272</v>
      </c>
      <c r="AA30" s="69" t="n">
        <f aca="false">IF(AA$5="A",0,Z13*Assumptions!$C$93/12*Assumptions!$F$178)</f>
        <v>0.0409836065576528</v>
      </c>
      <c r="AB30" s="69" t="n">
        <f aca="false">IF(AB$5="A",0,AA13*Assumptions!$C$93/12*Assumptions!$F$178)</f>
        <v>0.040983606557359</v>
      </c>
    </row>
    <row r="31" customFormat="false" ht="15" hidden="false" customHeight="false" outlineLevel="0" collapsed="false">
      <c r="A31" s="28" t="s">
        <v>1075</v>
      </c>
      <c r="B31" s="63" t="s">
        <v>1087</v>
      </c>
      <c r="C31" s="68" t="n">
        <f aca="false">SUM(E31:P31)</f>
        <v>0.0989652633101852</v>
      </c>
      <c r="D31" s="68" t="n">
        <f aca="false">SUM(Q31:AB31)</f>
        <v>0.295082035802956</v>
      </c>
      <c r="E31" s="69" t="n">
        <f aca="false">IF(E$5="A",0,Assumptions!$F$81*Assumptions!$C$93/12*Assumptions!$F$178)</f>
        <v>0</v>
      </c>
      <c r="F31" s="69" t="n">
        <f aca="false">IF(F$5="A",0,E14*Assumptions!$C$93/12*Assumptions!$F$178)</f>
        <v>0</v>
      </c>
      <c r="G31" s="69" t="n">
        <f aca="false">IF(G$5="A",0,F14*Assumptions!$C$93/12*Assumptions!$F$178)</f>
        <v>0</v>
      </c>
      <c r="H31" s="69" t="n">
        <f aca="false">IF(H$5="A",0,G14*Assumptions!$C$93/12*Assumptions!$F$178)</f>
        <v>0</v>
      </c>
      <c r="I31" s="69" t="n">
        <f aca="false">IF(I$5="A",0,H14*Assumptions!$C$93/12*Assumptions!$F$178)</f>
        <v>0</v>
      </c>
      <c r="J31" s="69" t="n">
        <f aca="false">IF(J$5="A",0,I14*Assumptions!$C$93/12*Assumptions!$F$178)</f>
        <v>0</v>
      </c>
      <c r="K31" s="69" t="n">
        <f aca="false">IF(K$5="A",0,J14*Assumptions!$C$93/12*Assumptions!$F$178)</f>
        <v>0</v>
      </c>
      <c r="L31" s="69" t="n">
        <f aca="false">IF(L$5="A",0,K14*Assumptions!$C$93/12*Assumptions!$F$178)</f>
        <v>0</v>
      </c>
      <c r="M31" s="69" t="n">
        <f aca="false">IF(M$5="A",0,L14*Assumptions!$C$93/12*Assumptions!$F$178)</f>
        <v>0.025</v>
      </c>
      <c r="N31" s="69" t="n">
        <f aca="false">IF(N$5="A",0,M14*Assumptions!$C$93/12*Assumptions!$F$178)</f>
        <v>0.0247916666666667</v>
      </c>
      <c r="O31" s="69" t="n">
        <f aca="false">IF(O$5="A",0,N14*Assumptions!$C$93/12*Assumptions!$F$178)</f>
        <v>0.0245850694444444</v>
      </c>
      <c r="P31" s="69" t="n">
        <f aca="false">IF(P$5="A",0,O14*Assumptions!$C$93/12*Assumptions!$F$178)</f>
        <v>0.0245885271990741</v>
      </c>
      <c r="Q31" s="69" t="n">
        <f aca="false">IF(Q$5="A",0,P14*Assumptions!$C$93/12*Assumptions!$F$178)</f>
        <v>0.0245902200279707</v>
      </c>
      <c r="R31" s="69" t="n">
        <f aca="false">IF(R$5="A",0,Q14*Assumptions!$C$93/12*Assumptions!$F$178)</f>
        <v>0.0245901771064413</v>
      </c>
      <c r="S31" s="69" t="n">
        <f aca="false">IF(S$5="A",0,R14*Assumptions!$C$93/12*Assumptions!$F$178)</f>
        <v>0.0245901633572132</v>
      </c>
      <c r="T31" s="69" t="n">
        <f aca="false">IF(T$5="A",0,S14*Assumptions!$C$93/12*Assumptions!$F$178)</f>
        <v>0.0245901638294695</v>
      </c>
      <c r="U31" s="69" t="n">
        <f aca="false">IF(U$5="A",0,T14*Assumptions!$C$93/12*Assumptions!$F$178)</f>
        <v>0.024590163940111</v>
      </c>
      <c r="V31" s="69" t="n">
        <f aca="false">IF(V$5="A",0,U14*Assumptions!$C$93/12*Assumptions!$F$178)</f>
        <v>0.0245901639352535</v>
      </c>
      <c r="W31" s="69" t="n">
        <f aca="false">IF(W$5="A",0,V14*Assumptions!$C$93/12*Assumptions!$F$178)</f>
        <v>0.024590163934372</v>
      </c>
      <c r="X31" s="69" t="n">
        <f aca="false">IF(X$5="A",0,W14*Assumptions!$C$93/12*Assumptions!$F$178)</f>
        <v>0.0245901639344198</v>
      </c>
      <c r="Y31" s="69" t="n">
        <f aca="false">IF(Y$5="A",0,X14*Assumptions!$C$93/12*Assumptions!$F$178)</f>
        <v>0.0245901639344267</v>
      </c>
      <c r="Z31" s="69" t="n">
        <f aca="false">IF(Z$5="A",0,Y14*Assumptions!$C$93/12*Assumptions!$F$178)</f>
        <v>0.0245901639344263</v>
      </c>
      <c r="AA31" s="69" t="n">
        <f aca="false">IF(AA$5="A",0,Z14*Assumptions!$C$93/12*Assumptions!$F$178)</f>
        <v>0.0245901639344262</v>
      </c>
      <c r="AB31" s="69" t="n">
        <f aca="false">IF(AB$5="A",0,AA14*Assumptions!$C$93/12*Assumptions!$F$178)</f>
        <v>0.0245901639344262</v>
      </c>
    </row>
    <row r="32" customFormat="false" ht="15" hidden="false" customHeight="false" outlineLevel="0" collapsed="false">
      <c r="A32" s="28" t="s">
        <v>1076</v>
      </c>
      <c r="B32" s="63" t="s">
        <v>1087</v>
      </c>
      <c r="C32" s="68" t="n">
        <f aca="false">SUM(E32:P32)</f>
        <v>0.649593400366512</v>
      </c>
      <c r="D32" s="68" t="n">
        <f aca="false">SUM(Q32:AB32)</f>
        <v>2.10120659959623</v>
      </c>
      <c r="E32" s="69" t="n">
        <f aca="false">IF(E$5="A",0,Assumptions!$F$82*Assumptions!$C$94/12*Assumptions!$F$178)</f>
        <v>0</v>
      </c>
      <c r="F32" s="69" t="n">
        <f aca="false">IF(F$5="A",0,E15*Assumptions!$C$94/12*Assumptions!$F$178)</f>
        <v>0</v>
      </c>
      <c r="G32" s="69" t="n">
        <f aca="false">IF(G$5="A",0,F15*Assumptions!$C$94/12*Assumptions!$F$178)</f>
        <v>0</v>
      </c>
      <c r="H32" s="69" t="n">
        <f aca="false">IF(H$5="A",0,G15*Assumptions!$C$94/12*Assumptions!$F$178)</f>
        <v>0</v>
      </c>
      <c r="I32" s="69" t="n">
        <f aca="false">IF(I$5="A",0,H15*Assumptions!$C$94/12*Assumptions!$F$178)</f>
        <v>0</v>
      </c>
      <c r="J32" s="69" t="n">
        <f aca="false">IF(J$5="A",0,I15*Assumptions!$C$94/12*Assumptions!$F$178)</f>
        <v>0</v>
      </c>
      <c r="K32" s="69" t="n">
        <f aca="false">IF(K$5="A",0,J15*Assumptions!$C$94/12*Assumptions!$F$178)</f>
        <v>0</v>
      </c>
      <c r="L32" s="69" t="n">
        <f aca="false">IF(L$5="A",0,K15*Assumptions!$C$94/12*Assumptions!$F$178)</f>
        <v>0</v>
      </c>
      <c r="M32" s="69" t="n">
        <f aca="false">IF(M$5="A",0,L15*Assumptions!$C$94/12*Assumptions!$F$178)</f>
        <v>0.166666666666667</v>
      </c>
      <c r="N32" s="69" t="n">
        <f aca="false">IF(N$5="A",0,M15*Assumptions!$C$94/12*Assumptions!$F$178)</f>
        <v>0.163194444444444</v>
      </c>
      <c r="O32" s="69" t="n">
        <f aca="false">IF(O$5="A",0,N15*Assumptions!$C$94/12*Assumptions!$F$178)</f>
        <v>0.159794560185185</v>
      </c>
      <c r="P32" s="69" t="n">
        <f aca="false">IF(P$5="A",0,O15*Assumptions!$C$94/12*Assumptions!$F$178)</f>
        <v>0.159937729070216</v>
      </c>
      <c r="Q32" s="69" t="n">
        <f aca="false">IF(Q$5="A",0,P15*Assumptions!$C$94/12*Assumptions!$F$178)</f>
        <v>0.160005577307179</v>
      </c>
      <c r="R32" s="69" t="n">
        <f aca="false">IF(R$5="A",0,Q15*Assumptions!$C$94/12*Assumptions!$F$178)</f>
        <v>0.160001181117138</v>
      </c>
      <c r="S32" s="69" t="n">
        <f aca="false">IF(S$5="A",0,R15*Assumptions!$C$94/12*Assumptions!$F$178)</f>
        <v>0.159999859199493</v>
      </c>
      <c r="T32" s="69" t="n">
        <f aca="false">IF(T$5="A",0,S15*Assumptions!$C$94/12*Assumptions!$F$178)</f>
        <v>0.18083331166007</v>
      </c>
      <c r="U32" s="69" t="n">
        <f aca="false">IF(U$5="A",0,T15*Assumptions!$C$94/12*Assumptions!$F$178)</f>
        <v>0.180399308940426</v>
      </c>
      <c r="V32" s="69" t="n">
        <f aca="false">IF(V$5="A",0,U15*Assumptions!$C$94/12*Assumptions!$F$178)</f>
        <v>0.179974320404156</v>
      </c>
      <c r="W32" s="69" t="n">
        <f aca="false">IF(W$5="A",0,V15*Assumptions!$C$94/12*Assumptions!$F$178)</f>
        <v>0.179992216055321</v>
      </c>
      <c r="X32" s="69" t="n">
        <f aca="false">IF(X$5="A",0,W15*Assumptions!$C$94/12*Assumptions!$F$178)</f>
        <v>0.180000697157094</v>
      </c>
      <c r="Y32" s="69" t="n">
        <f aca="false">IF(Y$5="A",0,X15*Assumptions!$C$94/12*Assumptions!$F$178)</f>
        <v>0.180000147641408</v>
      </c>
      <c r="Z32" s="69" t="n">
        <f aca="false">IF(Z$5="A",0,Y15*Assumptions!$C$94/12*Assumptions!$F$178)</f>
        <v>0.179999982400031</v>
      </c>
      <c r="AA32" s="69" t="n">
        <f aca="false">IF(AA$5="A",0,Z15*Assumptions!$C$94/12*Assumptions!$F$178)</f>
        <v>0.179999997290803</v>
      </c>
      <c r="AB32" s="69" t="n">
        <f aca="false">IF(AB$5="A",0,AA15*Assumptions!$C$94/12*Assumptions!$F$178)</f>
        <v>0.180000000423108</v>
      </c>
    </row>
    <row r="33" customFormat="false" ht="15" hidden="false" customHeight="false" outlineLevel="0" collapsed="false">
      <c r="A33" s="28" t="s">
        <v>1077</v>
      </c>
      <c r="B33" s="63" t="s">
        <v>1087</v>
      </c>
      <c r="C33" s="68" t="n">
        <f aca="false">SUM(E33:P33)</f>
        <v>0.295359228515625</v>
      </c>
      <c r="D33" s="68" t="n">
        <f aca="false">SUM(Q33:AB33)</f>
        <v>0.988251717347433</v>
      </c>
      <c r="E33" s="69" t="n">
        <f aca="false">IF(E$5="A",0,Assumptions!$F$83*Assumptions!$C$95/12*Assumptions!$F$178)</f>
        <v>0</v>
      </c>
      <c r="F33" s="69" t="n">
        <f aca="false">IF(F$5="A",0,E16*Assumptions!$C$95/12*Assumptions!$F$178)</f>
        <v>0</v>
      </c>
      <c r="G33" s="69" t="n">
        <f aca="false">IF(G$5="A",0,F16*Assumptions!$C$95/12*Assumptions!$F$178)</f>
        <v>0</v>
      </c>
      <c r="H33" s="69" t="n">
        <f aca="false">IF(H$5="A",0,G16*Assumptions!$C$95/12*Assumptions!$F$178)</f>
        <v>0</v>
      </c>
      <c r="I33" s="69" t="n">
        <f aca="false">IF(I$5="A",0,H16*Assumptions!$C$95/12*Assumptions!$F$178)</f>
        <v>0</v>
      </c>
      <c r="J33" s="69" t="n">
        <f aca="false">IF(J$5="A",0,I16*Assumptions!$C$95/12*Assumptions!$F$178)</f>
        <v>0</v>
      </c>
      <c r="K33" s="69" t="n">
        <f aca="false">IF(K$5="A",0,J16*Assumptions!$C$95/12*Assumptions!$F$178)</f>
        <v>0</v>
      </c>
      <c r="L33" s="69" t="n">
        <f aca="false">IF(L$5="A",0,K16*Assumptions!$C$95/12*Assumptions!$F$178)</f>
        <v>0</v>
      </c>
      <c r="M33" s="69" t="n">
        <f aca="false">IF(M$5="A",0,L16*Assumptions!$C$95/12*Assumptions!$F$178)</f>
        <v>0.075</v>
      </c>
      <c r="N33" s="69" t="n">
        <f aca="false">IF(N$5="A",0,M16*Assumptions!$C$95/12*Assumptions!$F$178)</f>
        <v>0.0740625</v>
      </c>
      <c r="O33" s="69" t="n">
        <f aca="false">IF(O$5="A",0,N16*Assumptions!$C$95/12*Assumptions!$F$178)</f>
        <v>0.07313671875</v>
      </c>
      <c r="P33" s="69" t="n">
        <f aca="false">IF(P$5="A",0,O16*Assumptions!$C$95/12*Assumptions!$F$178)</f>
        <v>0.073160009765625</v>
      </c>
      <c r="Q33" s="69" t="n">
        <f aca="false">IF(Q$5="A",0,P16*Assumptions!$C$95/12*Assumptions!$F$178)</f>
        <v>0.0731712908935547</v>
      </c>
      <c r="R33" s="69" t="n">
        <f aca="false">IF(R$5="A",0,Q16*Assumptions!$C$95/12*Assumptions!$F$178)</f>
        <v>0.0731708587417602</v>
      </c>
      <c r="S33" s="69" t="n">
        <f aca="false">IF(S$5="A",0,R16*Assumptions!$C$95/12*Assumptions!$F$178)</f>
        <v>0.0731707231295586</v>
      </c>
      <c r="T33" s="69" t="n">
        <f aca="false">IF(T$5="A",0,S16*Assumptions!$C$95/12*Assumptions!$F$178)</f>
        <v>0.0856707302266085</v>
      </c>
      <c r="U33" s="69" t="n">
        <f aca="false">IF(U$5="A",0,T16*Assumptions!$C$95/12*Assumptions!$F$178)</f>
        <v>0.0855144818330479</v>
      </c>
      <c r="V33" s="69" t="n">
        <f aca="false">IF(V$5="A",0,U16*Assumptions!$C$95/12*Assumptions!$F$178)</f>
        <v>0.0853601848492543</v>
      </c>
      <c r="W33" s="69" t="n">
        <f aca="false">IF(W$5="A",0,V16*Assumptions!$C$95/12*Assumptions!$F$178)</f>
        <v>0.0853640666664712</v>
      </c>
      <c r="X33" s="69" t="n">
        <f aca="false">IF(X$5="A",0,W16*Assumptions!$C$95/12*Assumptions!$F$178)</f>
        <v>0.0853659468560534</v>
      </c>
      <c r="Y33" s="69" t="n">
        <f aca="false">IF(Y$5="A",0,X16*Assumptions!$C$95/12*Assumptions!$F$178)</f>
        <v>0.0853658748309685</v>
      </c>
      <c r="Z33" s="69" t="n">
        <f aca="false">IF(Z$5="A",0,Y16*Assumptions!$C$95/12*Assumptions!$F$178)</f>
        <v>0.0853658522289122</v>
      </c>
      <c r="AA33" s="69" t="n">
        <f aca="false">IF(AA$5="A",0,Z16*Assumptions!$C$95/12*Assumptions!$F$178)</f>
        <v>0.0853658534117515</v>
      </c>
      <c r="AB33" s="69" t="n">
        <f aca="false">IF(AB$5="A",0,AA16*Assumptions!$C$95/12*Assumptions!$F$178)</f>
        <v>0.0853658536794917</v>
      </c>
    </row>
    <row r="34" customFormat="false" ht="15" hidden="false" customHeight="false" outlineLevel="0" collapsed="false">
      <c r="A34" s="28" t="s">
        <v>1078</v>
      </c>
      <c r="B34" s="63" t="s">
        <v>1087</v>
      </c>
      <c r="C34" s="68" t="n">
        <f aca="false">SUM(E34:P34)</f>
        <v>0.320202978515625</v>
      </c>
      <c r="D34" s="68" t="n">
        <f aca="false">SUM(Q34:AB34)</f>
        <v>1.11019559398611</v>
      </c>
      <c r="E34" s="69" t="n">
        <f aca="false">IF(E$5="A",0,Assumptions!$F$84*Assumptions!$C$96/12*Assumptions!$F$178)</f>
        <v>0</v>
      </c>
      <c r="F34" s="69" t="n">
        <f aca="false">IF(F$5="A",0,E17*Assumptions!$C$96/12*Assumptions!$F$178)</f>
        <v>0</v>
      </c>
      <c r="G34" s="69" t="n">
        <f aca="false">IF(G$5="A",0,F17*Assumptions!$C$96/12*Assumptions!$F$178)</f>
        <v>0</v>
      </c>
      <c r="H34" s="69" t="n">
        <f aca="false">IF(H$5="A",0,G17*Assumptions!$C$96/12*Assumptions!$F$178)</f>
        <v>0</v>
      </c>
      <c r="I34" s="69" t="n">
        <f aca="false">IF(I$5="A",0,H17*Assumptions!$C$96/12*Assumptions!$F$178)</f>
        <v>0</v>
      </c>
      <c r="J34" s="69" t="n">
        <f aca="false">IF(J$5="A",0,I17*Assumptions!$C$96/12*Assumptions!$F$178)</f>
        <v>0</v>
      </c>
      <c r="K34" s="69" t="n">
        <f aca="false">IF(K$5="A",0,J17*Assumptions!$C$96/12*Assumptions!$F$178)</f>
        <v>0</v>
      </c>
      <c r="L34" s="69" t="n">
        <f aca="false">IF(L$5="A",0,K17*Assumptions!$C$96/12*Assumptions!$F$178)</f>
        <v>0</v>
      </c>
      <c r="M34" s="69" t="n">
        <f aca="false">IF(M$5="A",0,L17*Assumptions!$C$96/12*Assumptions!$F$178)</f>
        <v>0.075</v>
      </c>
      <c r="N34" s="69" t="n">
        <f aca="false">IF(N$5="A",0,M17*Assumptions!$C$96/12*Assumptions!$F$178)</f>
        <v>0.0740625</v>
      </c>
      <c r="O34" s="69" t="n">
        <f aca="false">IF(O$5="A",0,N17*Assumptions!$C$96/12*Assumptions!$F$178)</f>
        <v>0.08563671875</v>
      </c>
      <c r="P34" s="69" t="n">
        <f aca="false">IF(P$5="A",0,O17*Assumptions!$C$96/12*Assumptions!$F$178)</f>
        <v>0.085503759765625</v>
      </c>
      <c r="Q34" s="69" t="n">
        <f aca="false">IF(Q$5="A",0,P17*Assumptions!$C$96/12*Assumptions!$F$178)</f>
        <v>0.0853607440185547</v>
      </c>
      <c r="R34" s="69" t="n">
        <f aca="false">IF(R$5="A",0,Q17*Assumptions!$C$96/12*Assumptions!$F$178)</f>
        <v>0.0853641937026978</v>
      </c>
      <c r="S34" s="69" t="n">
        <f aca="false">IF(S$5="A",0,R17*Assumptions!$C$96/12*Assumptions!$F$178)</f>
        <v>0.0853659382784843</v>
      </c>
      <c r="T34" s="69" t="n">
        <f aca="false">IF(T$5="A",0,S17*Assumptions!$C$96/12*Assumptions!$F$178)</f>
        <v>0.0853658733502352</v>
      </c>
      <c r="U34" s="69" t="n">
        <f aca="false">IF(U$5="A",0,T17*Assumptions!$C$96/12*Assumptions!$F$178)</f>
        <v>0.085365852354641</v>
      </c>
      <c r="V34" s="69" t="n">
        <f aca="false">IF(V$5="A",0,U17*Assumptions!$C$96/12*Assumptions!$F$178)</f>
        <v>0.097865853428689</v>
      </c>
      <c r="W34" s="69" t="n">
        <f aca="false">IF(W$5="A",0,V17*Assumptions!$C$96/12*Assumptions!$F$178)</f>
        <v>0.0977096036777084</v>
      </c>
      <c r="X34" s="69" t="n">
        <f aca="false">IF(X$5="A",0,W17*Assumptions!$C$96/12*Assumptions!$F$178)</f>
        <v>0.09755530678617</v>
      </c>
      <c r="Y34" s="69" t="n">
        <f aca="false">IF(Y$5="A",0,X17*Assumptions!$C$96/12*Assumptions!$F$178)</f>
        <v>0.0975591886192015</v>
      </c>
      <c r="Z34" s="69" t="n">
        <f aca="false">IF(Z$5="A",0,Y17*Assumptions!$C$96/12*Assumptions!$F$178)</f>
        <v>0.0975610688074329</v>
      </c>
      <c r="AA34" s="69" t="n">
        <f aca="false">IF(AA$5="A",0,Z17*Assumptions!$C$96/12*Assumptions!$F$178)</f>
        <v>0.0975609967821671</v>
      </c>
      <c r="AB34" s="69" t="n">
        <f aca="false">IF(AB$5="A",0,AA17*Assumptions!$C$96/12*Assumptions!$F$178)</f>
        <v>0.09756097418013</v>
      </c>
    </row>
    <row r="35" customFormat="false" ht="15" hidden="false" customHeight="false" outlineLevel="0" collapsed="false">
      <c r="A35" s="28" t="s">
        <v>1079</v>
      </c>
      <c r="B35" s="63" t="s">
        <v>1087</v>
      </c>
      <c r="C35" s="68" t="n">
        <f aca="false">SUM(E35:P35)</f>
        <v>0.0811991750458141</v>
      </c>
      <c r="D35" s="68" t="n">
        <f aca="false">SUM(Q35:AB35)</f>
        <v>0.240000824954186</v>
      </c>
      <c r="E35" s="69" t="n">
        <f aca="false">IF(E$5="A",0,Assumptions!$F$85*Assumptions!$C$97/12*Assumptions!$F$178)</f>
        <v>0</v>
      </c>
      <c r="F35" s="69" t="n">
        <f aca="false">IF(F$5="A",0,E18*Assumptions!$C$97/12*Assumptions!$F$178)</f>
        <v>0</v>
      </c>
      <c r="G35" s="69" t="n">
        <f aca="false">IF(G$5="A",0,F18*Assumptions!$C$97/12*Assumptions!$F$178)</f>
        <v>0</v>
      </c>
      <c r="H35" s="69" t="n">
        <f aca="false">IF(H$5="A",0,G18*Assumptions!$C$97/12*Assumptions!$F$178)</f>
        <v>0</v>
      </c>
      <c r="I35" s="69" t="n">
        <f aca="false">IF(I$5="A",0,H18*Assumptions!$C$97/12*Assumptions!$F$178)</f>
        <v>0</v>
      </c>
      <c r="J35" s="69" t="n">
        <f aca="false">IF(J$5="A",0,I18*Assumptions!$C$97/12*Assumptions!$F$178)</f>
        <v>0</v>
      </c>
      <c r="K35" s="69" t="n">
        <f aca="false">IF(K$5="A",0,J18*Assumptions!$C$97/12*Assumptions!$F$178)</f>
        <v>0</v>
      </c>
      <c r="L35" s="69" t="n">
        <f aca="false">IF(L$5="A",0,K18*Assumptions!$C$97/12*Assumptions!$F$178)</f>
        <v>0</v>
      </c>
      <c r="M35" s="69" t="n">
        <f aca="false">IF(M$5="A",0,L18*Assumptions!$C$97/12*Assumptions!$F$178)</f>
        <v>0.0208333333333333</v>
      </c>
      <c r="N35" s="69" t="n">
        <f aca="false">IF(N$5="A",0,M18*Assumptions!$C$97/12*Assumptions!$F$178)</f>
        <v>0.0203993055555556</v>
      </c>
      <c r="O35" s="69" t="n">
        <f aca="false">IF(O$5="A",0,N18*Assumptions!$C$97/12*Assumptions!$F$178)</f>
        <v>0.0199743200231481</v>
      </c>
      <c r="P35" s="69" t="n">
        <f aca="false">IF(P$5="A",0,O18*Assumptions!$C$97/12*Assumptions!$F$178)</f>
        <v>0.019992216133777</v>
      </c>
      <c r="Q35" s="69" t="n">
        <f aca="false">IF(Q$5="A",0,P18*Assumptions!$C$97/12*Assumptions!$F$178)</f>
        <v>0.0200006971633974</v>
      </c>
      <c r="R35" s="69" t="n">
        <f aca="false">IF(R$5="A",0,Q18*Assumptions!$C$97/12*Assumptions!$F$178)</f>
        <v>0.0200001476396422</v>
      </c>
      <c r="S35" s="69" t="n">
        <f aca="false">IF(S$5="A",0,R18*Assumptions!$C$97/12*Assumptions!$F$178)</f>
        <v>0.0199999823999367</v>
      </c>
      <c r="T35" s="69" t="n">
        <f aca="false">IF(T$5="A",0,S18*Assumptions!$C$97/12*Assumptions!$F$178)</f>
        <v>0.0199999972908421</v>
      </c>
      <c r="U35" s="69" t="n">
        <f aca="false">IF(U$5="A",0,T18*Assumptions!$C$97/12*Assumptions!$F$178)</f>
        <v>0.0200000004231088</v>
      </c>
      <c r="V35" s="69" t="n">
        <f aca="false">IF(V$5="A",0,U18*Assumptions!$C$97/12*Assumptions!$F$178)</f>
        <v>0.020000000047626</v>
      </c>
      <c r="W35" s="69" t="n">
        <f aca="false">IF(W$5="A",0,V18*Assumptions!$C$97/12*Assumptions!$F$178)</f>
        <v>0.019999999990193</v>
      </c>
      <c r="X35" s="69" t="n">
        <f aca="false">IF(X$5="A",0,W18*Assumptions!$C$97/12*Assumptions!$F$178)</f>
        <v>0.0199999999992121</v>
      </c>
      <c r="Y35" s="69" t="n">
        <f aca="false">IF(Y$5="A",0,X18*Assumptions!$C$97/12*Assumptions!$F$178)</f>
        <v>0.0200000000002207</v>
      </c>
      <c r="Z35" s="69" t="n">
        <f aca="false">IF(Z$5="A",0,Y18*Assumptions!$C$97/12*Assumptions!$F$178)</f>
        <v>0.0200000000000118</v>
      </c>
      <c r="AA35" s="69" t="n">
        <f aca="false">IF(AA$5="A",0,Z18*Assumptions!$C$97/12*Assumptions!$F$178)</f>
        <v>0.0199999999999952</v>
      </c>
      <c r="AB35" s="69" t="n">
        <f aca="false">IF(AB$5="A",0,AA18*Assumptions!$C$97/12*Assumptions!$F$178)</f>
        <v>0.0199999999999999</v>
      </c>
    </row>
    <row r="36" customFormat="false" ht="15" hidden="false" customHeight="false" outlineLevel="0" collapsed="false">
      <c r="A36" s="28" t="s">
        <v>1080</v>
      </c>
      <c r="B36" s="63" t="s">
        <v>1087</v>
      </c>
      <c r="C36" s="68" t="n">
        <f aca="false">SUM(E36:P36)</f>
        <v>0.670426733699846</v>
      </c>
      <c r="D36" s="68" t="n">
        <f aca="false">SUM(Q36:AB36)</f>
        <v>2.60277326630127</v>
      </c>
      <c r="E36" s="69" t="n">
        <f aca="false">IF(E$5="A",0,Assumptions!$F$86*Assumptions!$C$97/12*Assumptions!$F$178)</f>
        <v>0</v>
      </c>
      <c r="F36" s="69" t="n">
        <f aca="false">IF(F$5="A",0,E19*Assumptions!$C$97/12*Assumptions!$F$178)</f>
        <v>0</v>
      </c>
      <c r="G36" s="69" t="n">
        <f aca="false">IF(G$5="A",0,F19*Assumptions!$C$97/12*Assumptions!$F$178)</f>
        <v>0</v>
      </c>
      <c r="H36" s="69" t="n">
        <f aca="false">IF(H$5="A",0,G19*Assumptions!$C$97/12*Assumptions!$F$178)</f>
        <v>0</v>
      </c>
      <c r="I36" s="69" t="n">
        <f aca="false">IF(I$5="A",0,H19*Assumptions!$C$97/12*Assumptions!$F$178)</f>
        <v>0</v>
      </c>
      <c r="J36" s="69" t="n">
        <f aca="false">IF(J$5="A",0,I19*Assumptions!$C$97/12*Assumptions!$F$178)</f>
        <v>0</v>
      </c>
      <c r="K36" s="69" t="n">
        <f aca="false">IF(K$5="A",0,J19*Assumptions!$C$97/12*Assumptions!$F$178)</f>
        <v>0</v>
      </c>
      <c r="L36" s="69" t="n">
        <f aca="false">IF(L$5="A",0,K19*Assumptions!$C$97/12*Assumptions!$F$178)</f>
        <v>0</v>
      </c>
      <c r="M36" s="69" t="n">
        <f aca="false">IF(M$5="A",0,L19*Assumptions!$C$97/12*Assumptions!$F$178)</f>
        <v>0.166666666666667</v>
      </c>
      <c r="N36" s="69" t="n">
        <f aca="false">IF(N$5="A",0,M19*Assumptions!$C$97/12*Assumptions!$F$178)</f>
        <v>0.163194444444444</v>
      </c>
      <c r="O36" s="69" t="n">
        <f aca="false">IF(O$5="A",0,N19*Assumptions!$C$97/12*Assumptions!$F$178)</f>
        <v>0.159794560185185</v>
      </c>
      <c r="P36" s="69" t="n">
        <f aca="false">IF(P$5="A",0,O19*Assumptions!$C$97/12*Assumptions!$F$178)</f>
        <v>0.180771062403549</v>
      </c>
      <c r="Q36" s="69" t="n">
        <f aca="false">IF(Q$5="A",0,P19*Assumptions!$C$97/12*Assumptions!$F$178)</f>
        <v>0.180404882862735</v>
      </c>
      <c r="R36" s="69" t="n">
        <f aca="false">IF(R$5="A",0,Q19*Assumptions!$C$97/12*Assumptions!$F$178)</f>
        <v>0.221642167806952</v>
      </c>
      <c r="S36" s="69" t="n">
        <f aca="false">IF(S$5="A",0,R19*Assumptions!$C$97/12*Assumptions!$F$178)</f>
        <v>0.220790686444382</v>
      </c>
      <c r="T36" s="69" t="n">
        <f aca="false">IF(T$5="A",0,S19*Assumptions!$C$97/12*Assumptions!$F$178)</f>
        <v>0.219949315536431</v>
      </c>
      <c r="U36" s="69" t="n">
        <f aca="false">IF(U$5="A",0,T19*Assumptions!$C$97/12*Assumptions!$F$178)</f>
        <v>0.219984583292066</v>
      </c>
      <c r="V36" s="69" t="n">
        <f aca="false">IF(V$5="A",0,U19*Assumptions!$C$97/12*Assumptions!$F$178)</f>
        <v>0.22000137710774</v>
      </c>
      <c r="W36" s="69" t="n">
        <f aca="false">IF(W$5="A",0,V19*Assumptions!$C$97/12*Assumptions!$F$178)</f>
        <v>0.220000292491671</v>
      </c>
      <c r="X36" s="69" t="n">
        <f aca="false">IF(X$5="A",0,W19*Assumptions!$C$97/12*Assumptions!$F$178)</f>
        <v>0.219999965216679</v>
      </c>
      <c r="Y36" s="69" t="n">
        <f aca="false">IF(Y$5="A",0,X19*Assumptions!$C$97/12*Assumptions!$F$178)</f>
        <v>0.219999994631076</v>
      </c>
      <c r="Z36" s="69" t="n">
        <f aca="false">IF(Z$5="A",0,Y19*Assumptions!$C$97/12*Assumptions!$F$178)</f>
        <v>0.220000000836505</v>
      </c>
      <c r="AA36" s="69" t="n">
        <f aca="false">IF(AA$5="A",0,Z19*Assumptions!$C$97/12*Assumptions!$F$178)</f>
        <v>0.220000000094425</v>
      </c>
      <c r="AB36" s="69" t="n">
        <f aca="false">IF(AB$5="A",0,AA19*Assumptions!$C$97/12*Assumptions!$F$178)</f>
        <v>0.219999999980606</v>
      </c>
    </row>
    <row r="37" customFormat="false" ht="15" hidden="false" customHeight="false" outlineLevel="0" collapsed="false">
      <c r="A37" s="28" t="s">
        <v>1081</v>
      </c>
      <c r="B37" s="63" t="s">
        <v>1087</v>
      </c>
      <c r="C37" s="68" t="n">
        <f aca="false">SUM(E37:P37)</f>
        <v>0.487195050274884</v>
      </c>
      <c r="D37" s="68" t="n">
        <f aca="false">SUM(Q37:AB37)</f>
        <v>1.58120495197391</v>
      </c>
      <c r="E37" s="69" t="n">
        <f aca="false">IF(E$5="A",0,Assumptions!$F$87*Assumptions!$C$97/12*Assumptions!$F$178)</f>
        <v>0</v>
      </c>
      <c r="F37" s="69" t="n">
        <f aca="false">IF(F$5="A",0,E20*Assumptions!$C$97/12*Assumptions!$F$178)</f>
        <v>0</v>
      </c>
      <c r="G37" s="69" t="n">
        <f aca="false">IF(G$5="A",0,F20*Assumptions!$C$97/12*Assumptions!$F$178)</f>
        <v>0</v>
      </c>
      <c r="H37" s="69" t="n">
        <f aca="false">IF(H$5="A",0,G20*Assumptions!$C$97/12*Assumptions!$F$178)</f>
        <v>0</v>
      </c>
      <c r="I37" s="69" t="n">
        <f aca="false">IF(I$5="A",0,H20*Assumptions!$C$97/12*Assumptions!$F$178)</f>
        <v>0</v>
      </c>
      <c r="J37" s="69" t="n">
        <f aca="false">IF(J$5="A",0,I20*Assumptions!$C$97/12*Assumptions!$F$178)</f>
        <v>0</v>
      </c>
      <c r="K37" s="69" t="n">
        <f aca="false">IF(K$5="A",0,J20*Assumptions!$C$97/12*Assumptions!$F$178)</f>
        <v>0</v>
      </c>
      <c r="L37" s="69" t="n">
        <f aca="false">IF(L$5="A",0,K20*Assumptions!$C$97/12*Assumptions!$F$178)</f>
        <v>0</v>
      </c>
      <c r="M37" s="69" t="n">
        <f aca="false">IF(M$5="A",0,L20*Assumptions!$C$97/12*Assumptions!$F$178)</f>
        <v>0.125</v>
      </c>
      <c r="N37" s="69" t="n">
        <f aca="false">IF(N$5="A",0,M20*Assumptions!$C$97/12*Assumptions!$F$178)</f>
        <v>0.122395833333333</v>
      </c>
      <c r="O37" s="69" t="n">
        <f aca="false">IF(O$5="A",0,N20*Assumptions!$C$97/12*Assumptions!$F$178)</f>
        <v>0.119845920138889</v>
      </c>
      <c r="P37" s="69" t="n">
        <f aca="false">IF(P$5="A",0,O20*Assumptions!$C$97/12*Assumptions!$F$178)</f>
        <v>0.119953296802662</v>
      </c>
      <c r="Q37" s="69" t="n">
        <f aca="false">IF(Q$5="A",0,P20*Assumptions!$C$97/12*Assumptions!$F$178)</f>
        <v>0.120004182980384</v>
      </c>
      <c r="R37" s="69" t="n">
        <f aca="false">IF(R$5="A",0,Q20*Assumptions!$C$97/12*Assumptions!$F$178)</f>
        <v>0.120000885837853</v>
      </c>
      <c r="S37" s="69" t="n">
        <f aca="false">IF(S$5="A",0,R20*Assumptions!$C$97/12*Assumptions!$F$178)</f>
        <v>0.11999989439962</v>
      </c>
      <c r="T37" s="69" t="n">
        <f aca="false">IF(T$5="A",0,S20*Assumptions!$C$97/12*Assumptions!$F$178)</f>
        <v>0.119999983745053</v>
      </c>
      <c r="U37" s="69" t="n">
        <f aca="false">IF(U$5="A",0,T20*Assumptions!$C$97/12*Assumptions!$F$178)</f>
        <v>0.120000002538653</v>
      </c>
      <c r="V37" s="69" t="n">
        <f aca="false">IF(V$5="A",0,U20*Assumptions!$C$97/12*Assumptions!$F$178)</f>
        <v>0.140833333619089</v>
      </c>
      <c r="W37" s="69" t="n">
        <f aca="false">IF(W$5="A",0,V20*Assumptions!$C$97/12*Assumptions!$F$178)</f>
        <v>0.140399305496714</v>
      </c>
      <c r="X37" s="69" t="n">
        <f aca="false">IF(X$5="A",0,W20*Assumptions!$C$97/12*Assumptions!$F$178)</f>
        <v>0.139974320018421</v>
      </c>
      <c r="Y37" s="69" t="n">
        <f aca="false">IF(Y$5="A",0,X20*Assumptions!$C$97/12*Assumptions!$F$178)</f>
        <v>0.139992216135101</v>
      </c>
      <c r="Z37" s="69" t="n">
        <f aca="false">IF(Z$5="A",0,Y20*Assumptions!$C$97/12*Assumptions!$F$178)</f>
        <v>0.140000697163468</v>
      </c>
      <c r="AA37" s="69" t="n">
        <f aca="false">IF(AA$5="A",0,Z20*Assumptions!$C$97/12*Assumptions!$F$178)</f>
        <v>0.140000147639613</v>
      </c>
      <c r="AB37" s="69" t="n">
        <f aca="false">IF(AB$5="A",0,AA20*Assumptions!$C$97/12*Assumptions!$F$178)</f>
        <v>0.139999982399936</v>
      </c>
    </row>
    <row r="38" customFormat="false" ht="15" hidden="false" customHeight="false" outlineLevel="0" collapsed="false">
      <c r="A38" s="28" t="s">
        <v>1082</v>
      </c>
      <c r="B38" s="63" t="s">
        <v>1087</v>
      </c>
      <c r="C38" s="68" t="n">
        <f aca="false">SUM(E38:P38)</f>
        <v>0.344585766601563</v>
      </c>
      <c r="D38" s="68" t="n">
        <f aca="false">SUM(Q38:AB38)</f>
        <v>1.15898353738419</v>
      </c>
      <c r="E38" s="69" t="n">
        <f aca="false">IF(E$5="A",0,Assumptions!$F$88*Assumptions!$C$98/12*Assumptions!$F$178)</f>
        <v>0</v>
      </c>
      <c r="F38" s="69" t="n">
        <f aca="false">IF(F$5="A",0,E21*Assumptions!$C$98/12*Assumptions!$F$178)</f>
        <v>0</v>
      </c>
      <c r="G38" s="69" t="n">
        <f aca="false">IF(G$5="A",0,F21*Assumptions!$C$98/12*Assumptions!$F$178)</f>
        <v>0</v>
      </c>
      <c r="H38" s="69" t="n">
        <f aca="false">IF(H$5="A",0,G21*Assumptions!$C$98/12*Assumptions!$F$178)</f>
        <v>0</v>
      </c>
      <c r="I38" s="69" t="n">
        <f aca="false">IF(I$5="A",0,H21*Assumptions!$C$98/12*Assumptions!$F$178)</f>
        <v>0</v>
      </c>
      <c r="J38" s="69" t="n">
        <f aca="false">IF(J$5="A",0,I21*Assumptions!$C$98/12*Assumptions!$F$178)</f>
        <v>0</v>
      </c>
      <c r="K38" s="69" t="n">
        <f aca="false">IF(K$5="A",0,J21*Assumptions!$C$98/12*Assumptions!$F$178)</f>
        <v>0</v>
      </c>
      <c r="L38" s="69" t="n">
        <f aca="false">IF(L$5="A",0,K21*Assumptions!$C$98/12*Assumptions!$F$178)</f>
        <v>0</v>
      </c>
      <c r="M38" s="69" t="n">
        <f aca="false">IF(M$5="A",0,L21*Assumptions!$C$98/12*Assumptions!$F$178)</f>
        <v>0.0875</v>
      </c>
      <c r="N38" s="69" t="n">
        <f aca="false">IF(N$5="A",0,M21*Assumptions!$C$98/12*Assumptions!$F$178)</f>
        <v>0.08640625</v>
      </c>
      <c r="O38" s="69" t="n">
        <f aca="false">IF(O$5="A",0,N21*Assumptions!$C$98/12*Assumptions!$F$178)</f>
        <v>0.085326171875</v>
      </c>
      <c r="P38" s="69" t="n">
        <f aca="false">IF(P$5="A",0,O21*Assumptions!$C$98/12*Assumptions!$F$178)</f>
        <v>0.0853533447265625</v>
      </c>
      <c r="Q38" s="69" t="n">
        <f aca="false">IF(Q$5="A",0,P21*Assumptions!$C$98/12*Assumptions!$F$178)</f>
        <v>0.0853665060424805</v>
      </c>
      <c r="R38" s="69" t="n">
        <f aca="false">IF(R$5="A",0,Q21*Assumptions!$C$98/12*Assumptions!$F$178)</f>
        <v>0.097866001865387</v>
      </c>
      <c r="S38" s="69" t="n">
        <f aca="false">IF(S$5="A",0,R21*Assumptions!$C$98/12*Assumptions!$F$178)</f>
        <v>0.0977095936511517</v>
      </c>
      <c r="T38" s="69" t="n">
        <f aca="false">IF(T$5="A",0,S21*Assumptions!$C$98/12*Assumptions!$F$178)</f>
        <v>0.0975553050560433</v>
      </c>
      <c r="U38" s="69" t="n">
        <f aca="false">IF(U$5="A",0,T21*Assumptions!$C$98/12*Assumptions!$F$178)</f>
        <v>0.0975591887661601</v>
      </c>
      <c r="V38" s="69" t="n">
        <f aca="false">IF(V$5="A",0,U21*Assumptions!$C$98/12*Assumptions!$F$178)</f>
        <v>0.0975610688272224</v>
      </c>
      <c r="W38" s="69" t="n">
        <f aca="false">IF(W$5="A",0,V21*Assumptions!$C$98/12*Assumptions!$F$178)</f>
        <v>0.0975609967800827</v>
      </c>
      <c r="X38" s="69" t="n">
        <f aca="false">IF(X$5="A",0,W21*Assumptions!$C$98/12*Assumptions!$F$178)</f>
        <v>0.0975609741799087</v>
      </c>
      <c r="Y38" s="69" t="n">
        <f aca="false">IF(Y$5="A",0,X21*Assumptions!$C$98/12*Assumptions!$F$178)</f>
        <v>0.0975609753630001</v>
      </c>
      <c r="Z38" s="69" t="n">
        <f aca="false">IF(Z$5="A",0,Y21*Assumptions!$C$98/12*Assumptions!$F$178)</f>
        <v>0.0975609756307136</v>
      </c>
      <c r="AA38" s="69" t="n">
        <f aca="false">IF(AA$5="A",0,Z21*Assumptions!$C$98/12*Assumptions!$F$178)</f>
        <v>0.0975609756125786</v>
      </c>
      <c r="AB38" s="69" t="n">
        <f aca="false">IF(AB$5="A",0,AA21*Assumptions!$C$98/12*Assumptions!$F$178)</f>
        <v>0.0975609756094589</v>
      </c>
    </row>
    <row r="39" customFormat="false" ht="15" hidden="false" customHeight="false" outlineLevel="0" collapsed="false">
      <c r="A39" s="28" t="s">
        <v>1083</v>
      </c>
      <c r="B39" s="63" t="s">
        <v>1087</v>
      </c>
      <c r="C39" s="68" t="n">
        <f aca="false">SUM(E39:P39)</f>
        <v>0.052891255308642</v>
      </c>
      <c r="D39" s="68" t="n">
        <f aca="false">SUM(Q39:AB39)</f>
        <v>0.15789475577169</v>
      </c>
      <c r="E39" s="69" t="n">
        <f aca="false">IF(E$5="A",0,Assumptions!$F$89*Assumptions!$C$99/12*Assumptions!$F$178)</f>
        <v>0</v>
      </c>
      <c r="F39" s="69" t="n">
        <f aca="false">IF(F$5="A",0,E22*Assumptions!$C$99/12*Assumptions!$F$178)</f>
        <v>0</v>
      </c>
      <c r="G39" s="69" t="n">
        <f aca="false">IF(G$5="A",0,F22*Assumptions!$C$99/12*Assumptions!$F$178)</f>
        <v>0</v>
      </c>
      <c r="H39" s="69" t="n">
        <f aca="false">IF(H$5="A",0,G22*Assumptions!$C$99/12*Assumptions!$F$178)</f>
        <v>0</v>
      </c>
      <c r="I39" s="69" t="n">
        <f aca="false">IF(I$5="A",0,H22*Assumptions!$C$99/12*Assumptions!$F$178)</f>
        <v>0</v>
      </c>
      <c r="J39" s="69" t="n">
        <f aca="false">IF(J$5="A",0,I22*Assumptions!$C$99/12*Assumptions!$F$178)</f>
        <v>0</v>
      </c>
      <c r="K39" s="69" t="n">
        <f aca="false">IF(K$5="A",0,J22*Assumptions!$C$99/12*Assumptions!$F$178)</f>
        <v>0</v>
      </c>
      <c r="L39" s="69" t="n">
        <f aca="false">IF(L$5="A",0,K22*Assumptions!$C$99/12*Assumptions!$F$178)</f>
        <v>0</v>
      </c>
      <c r="M39" s="69" t="n">
        <f aca="false">IF(M$5="A",0,L22*Assumptions!$C$99/12*Assumptions!$F$178)</f>
        <v>0.0133333333333333</v>
      </c>
      <c r="N39" s="69" t="n">
        <f aca="false">IF(N$5="A",0,M22*Assumptions!$C$99/12*Assumptions!$F$178)</f>
        <v>0.0132444444444444</v>
      </c>
      <c r="O39" s="69" t="n">
        <f aca="false">IF(O$5="A",0,N22*Assumptions!$C$99/12*Assumptions!$F$178)</f>
        <v>0.0131561481481481</v>
      </c>
      <c r="P39" s="69" t="n">
        <f aca="false">IF(P$5="A",0,O22*Assumptions!$C$99/12*Assumptions!$F$178)</f>
        <v>0.0131573293827161</v>
      </c>
      <c r="Q39" s="69" t="n">
        <f aca="false">IF(Q$5="A",0,P22*Assumptions!$C$99/12*Assumptions!$F$178)</f>
        <v>0.0131579101497942</v>
      </c>
      <c r="R39" s="69" t="n">
        <f aca="false">IF(R$5="A",0,Q22*Assumptions!$C$99/12*Assumptions!$F$178)</f>
        <v>0.0131578984031166</v>
      </c>
      <c r="S39" s="69" t="n">
        <f aca="false">IF(S$5="A",0,R22*Assumptions!$C$99/12*Assumptions!$F$178)</f>
        <v>0.0131578946096473</v>
      </c>
      <c r="T39" s="69" t="n">
        <f aca="false">IF(T$5="A",0,S22*Assumptions!$C$99/12*Assumptions!$F$178)</f>
        <v>0.0131578947132482</v>
      </c>
      <c r="U39" s="69" t="n">
        <f aca="false">IF(U$5="A",0,T22*Assumptions!$C$99/12*Assumptions!$F$178)</f>
        <v>0.0131578947378474</v>
      </c>
      <c r="V39" s="69" t="n">
        <f aca="false">IF(V$5="A",0,U22*Assumptions!$C$99/12*Assumptions!$F$178)</f>
        <v>0.0131578947369927</v>
      </c>
      <c r="W39" s="69" t="n">
        <f aca="false">IF(W$5="A",0,V22*Assumptions!$C$99/12*Assumptions!$F$178)</f>
        <v>0.0131578947368344</v>
      </c>
      <c r="X39" s="69" t="n">
        <f aca="false">IF(X$5="A",0,W22*Assumptions!$C$99/12*Assumptions!$F$178)</f>
        <v>0.0131578947368412</v>
      </c>
      <c r="Y39" s="69" t="n">
        <f aca="false">IF(Y$5="A",0,X22*Assumptions!$C$99/12*Assumptions!$F$178)</f>
        <v>0.0131578947368422</v>
      </c>
      <c r="Z39" s="69" t="n">
        <f aca="false">IF(Z$5="A",0,Y22*Assumptions!$C$99/12*Assumptions!$F$178)</f>
        <v>0.0131578947368421</v>
      </c>
      <c r="AA39" s="69" t="n">
        <f aca="false">IF(AA$5="A",0,Z22*Assumptions!$C$99/12*Assumptions!$F$178)</f>
        <v>0.0131578947368421</v>
      </c>
      <c r="AB39" s="69" t="n">
        <f aca="false">IF(AB$5="A",0,AA22*Assumptions!$C$99/12*Assumptions!$F$178)</f>
        <v>0.0131578947368421</v>
      </c>
    </row>
    <row r="40" customFormat="false" ht="15" hidden="false" customHeight="false" outlineLevel="0" collapsed="false">
      <c r="A40" s="28" t="s">
        <v>1084</v>
      </c>
      <c r="B40" s="63" t="s">
        <v>1087</v>
      </c>
      <c r="C40" s="68" t="n">
        <f aca="false">SUM(E40:P40)</f>
        <v>0.132228138271605</v>
      </c>
      <c r="D40" s="68" t="n">
        <f aca="false">SUM(Q40:AB40)</f>
        <v>0.394736889429226</v>
      </c>
      <c r="E40" s="69" t="n">
        <f aca="false">IF(E$5="A",0,Assumptions!$F$90*Assumptions!$C$99/12*Assumptions!$F$178)</f>
        <v>0</v>
      </c>
      <c r="F40" s="69" t="n">
        <f aca="false">IF(F$5="A",0,E23*Assumptions!$C$99/12*Assumptions!$F$178)</f>
        <v>0</v>
      </c>
      <c r="G40" s="69" t="n">
        <f aca="false">IF(G$5="A",0,F23*Assumptions!$C$99/12*Assumptions!$F$178)</f>
        <v>0</v>
      </c>
      <c r="H40" s="69" t="n">
        <f aca="false">IF(H$5="A",0,G23*Assumptions!$C$99/12*Assumptions!$F$178)</f>
        <v>0</v>
      </c>
      <c r="I40" s="69" t="n">
        <f aca="false">IF(I$5="A",0,H23*Assumptions!$C$99/12*Assumptions!$F$178)</f>
        <v>0</v>
      </c>
      <c r="J40" s="69" t="n">
        <f aca="false">IF(J$5="A",0,I23*Assumptions!$C$99/12*Assumptions!$F$178)</f>
        <v>0</v>
      </c>
      <c r="K40" s="69" t="n">
        <f aca="false">IF(K$5="A",0,J23*Assumptions!$C$99/12*Assumptions!$F$178)</f>
        <v>0</v>
      </c>
      <c r="L40" s="69" t="n">
        <f aca="false">IF(L$5="A",0,K23*Assumptions!$C$99/12*Assumptions!$F$178)</f>
        <v>0</v>
      </c>
      <c r="M40" s="69" t="n">
        <f aca="false">IF(M$5="A",0,L23*Assumptions!$C$99/12*Assumptions!$F$178)</f>
        <v>0.0333333333333333</v>
      </c>
      <c r="N40" s="69" t="n">
        <f aca="false">IF(N$5="A",0,M23*Assumptions!$C$99/12*Assumptions!$F$178)</f>
        <v>0.0331111111111111</v>
      </c>
      <c r="O40" s="69" t="n">
        <f aca="false">IF(O$5="A",0,N23*Assumptions!$C$99/12*Assumptions!$F$178)</f>
        <v>0.0328903703703704</v>
      </c>
      <c r="P40" s="69" t="n">
        <f aca="false">IF(P$5="A",0,O23*Assumptions!$C$99/12*Assumptions!$F$178)</f>
        <v>0.0328933234567901</v>
      </c>
      <c r="Q40" s="69" t="n">
        <f aca="false">IF(Q$5="A",0,P23*Assumptions!$C$99/12*Assumptions!$F$178)</f>
        <v>0.0328947753744856</v>
      </c>
      <c r="R40" s="69" t="n">
        <f aca="false">IF(R$5="A",0,Q23*Assumptions!$C$99/12*Assumptions!$F$178)</f>
        <v>0.0328947460077915</v>
      </c>
      <c r="S40" s="69" t="n">
        <f aca="false">IF(S$5="A",0,R23*Assumptions!$C$99/12*Assumptions!$F$178)</f>
        <v>0.0328947365241182</v>
      </c>
      <c r="T40" s="69" t="n">
        <f aca="false">IF(T$5="A",0,S23*Assumptions!$C$99/12*Assumptions!$F$178)</f>
        <v>0.0328947367831206</v>
      </c>
      <c r="U40" s="69" t="n">
        <f aca="false">IF(U$5="A",0,T23*Assumptions!$C$99/12*Assumptions!$F$178)</f>
        <v>0.0328947368446184</v>
      </c>
      <c r="V40" s="69" t="n">
        <f aca="false">IF(V$5="A",0,U23*Assumptions!$C$99/12*Assumptions!$F$178)</f>
        <v>0.0328947368424817</v>
      </c>
      <c r="W40" s="69" t="n">
        <f aca="false">IF(W$5="A",0,V23*Assumptions!$C$99/12*Assumptions!$F$178)</f>
        <v>0.032894736842086</v>
      </c>
      <c r="X40" s="69" t="n">
        <f aca="false">IF(X$5="A",0,W23*Assumptions!$C$99/12*Assumptions!$F$178)</f>
        <v>0.0328947368421029</v>
      </c>
      <c r="Y40" s="69" t="n">
        <f aca="false">IF(Y$5="A",0,X23*Assumptions!$C$99/12*Assumptions!$F$178)</f>
        <v>0.0328947368421054</v>
      </c>
      <c r="Z40" s="69" t="n">
        <f aca="false">IF(Z$5="A",0,Y23*Assumptions!$C$99/12*Assumptions!$F$178)</f>
        <v>0.0328947368421053</v>
      </c>
      <c r="AA40" s="69" t="n">
        <f aca="false">IF(AA$5="A",0,Z23*Assumptions!$C$99/12*Assumptions!$F$178)</f>
        <v>0.0328947368421053</v>
      </c>
      <c r="AB40" s="69" t="n">
        <f aca="false">IF(AB$5="A",0,AA23*Assumptions!$C$99/12*Assumptions!$F$178)</f>
        <v>0.0328947368421053</v>
      </c>
    </row>
    <row r="41" customFormat="false" ht="15" hidden="false" customHeight="false" outlineLevel="0" collapsed="false">
      <c r="A41" s="28" t="s">
        <v>1088</v>
      </c>
      <c r="B41" s="63"/>
      <c r="C41" s="68" t="n">
        <f aca="false">SUM(E41:P41)</f>
        <v>5.27638472222222</v>
      </c>
      <c r="D41" s="68" t="n">
        <f aca="false">SUM(Q41:AB41)</f>
        <v>29.0719319998784</v>
      </c>
      <c r="E41" s="80" t="n">
        <f aca="false">IF(E$5="A",0,0)</f>
        <v>0</v>
      </c>
      <c r="F41" s="80" t="n">
        <f aca="false">IF(F$5="A",0,0)</f>
        <v>0</v>
      </c>
      <c r="G41" s="69" t="n">
        <f aca="false">IF(G$5="A",0,0+IF(E$5="F",E26,0)*Assumptions!$F$177+IF(E$5="F",E27,0)*Assumptions!$F$177+IF(E$5="F",E28,0)*Assumptions!$F$177+IF(E$5="F",E29,0)*Assumptions!$F$177+IF(E$5="F",E30,0)*Assumptions!$F$177+IF(E$5="F",E31,0)*Assumptions!$F$177+IF(E$5="F",E32,0)*Assumptions!$F$177+IF(E$5="F",E33,0)*Assumptions!$F$177+IF(E$5="F",E34,0)*Assumptions!$F$177+IF(E$5="F",E35,0)*Assumptions!$F$177+IF(E$5="F",E36,0)*Assumptions!$F$177+IF(E$5="F",E37,0)*Assumptions!$F$177+IF(E$5="F",E38,0)*Assumptions!$F$177+IF(E$5="F",E39,0)*Assumptions!$F$177+IF(E$5="F",E40,0)*Assumptions!$F$177)</f>
        <v>0</v>
      </c>
      <c r="H41" s="69" t="n">
        <f aca="false">IF(H$5="A",0,0+IF(F$5="F",F26,0)*Assumptions!$F$177+IF(F$5="F",F27,0)*Assumptions!$F$177+IF(F$5="F",F28,0)*Assumptions!$F$177+IF(F$5="F",F29,0)*Assumptions!$F$177+IF(F$5="F",F30,0)*Assumptions!$F$177+IF(F$5="F",F31,0)*Assumptions!$F$177+IF(F$5="F",F32,0)*Assumptions!$F$177+IF(F$5="F",F33,0)*Assumptions!$F$177+IF(F$5="F",F34,0)*Assumptions!$F$177+IF(F$5="F",F35,0)*Assumptions!$F$177+IF(F$5="F",F36,0)*Assumptions!$F$177+IF(F$5="F",F37,0)*Assumptions!$F$177+IF(F$5="F",F38,0)*Assumptions!$F$177+IF(F$5="F",F39,0)*Assumptions!$F$177+IF(F$5="F",F40,0)*Assumptions!$F$177)</f>
        <v>0</v>
      </c>
      <c r="I41" s="69" t="n">
        <f aca="false">IF(I$5="A",0,0+IF(G$5="F",G26,0)*Assumptions!$F$177+IF(G$5="F",G27,0)*Assumptions!$F$177+IF(G$5="F",G28,0)*Assumptions!$F$177+IF(G$5="F",G29,0)*Assumptions!$F$177+IF(G$5="F",G30,0)*Assumptions!$F$177+IF(G$5="F",G31,0)*Assumptions!$F$177+IF(G$5="F",G32,0)*Assumptions!$F$177+IF(G$5="F",G33,0)*Assumptions!$F$177+IF(G$5="F",G34,0)*Assumptions!$F$177+IF(G$5="F",G35,0)*Assumptions!$F$177+IF(G$5="F",G36,0)*Assumptions!$F$177+IF(G$5="F",G37,0)*Assumptions!$F$177+IF(G$5="F",G38,0)*Assumptions!$F$177+IF(G$5="F",G39,0)*Assumptions!$F$177+IF(G$5="F",G40,0)*Assumptions!$F$177)</f>
        <v>0</v>
      </c>
      <c r="J41" s="69" t="n">
        <f aca="false">IF(J$5="A",0,0+IF(H$5="F",H26,0)*Assumptions!$F$177+IF(H$5="F",H27,0)*Assumptions!$F$177+IF(H$5="F",H28,0)*Assumptions!$F$177+IF(H$5="F",H29,0)*Assumptions!$F$177+IF(H$5="F",H30,0)*Assumptions!$F$177+IF(H$5="F",H31,0)*Assumptions!$F$177+IF(H$5="F",H32,0)*Assumptions!$F$177+IF(H$5="F",H33,0)*Assumptions!$F$177+IF(H$5="F",H34,0)*Assumptions!$F$177+IF(H$5="F",H35,0)*Assumptions!$F$177+IF(H$5="F",H36,0)*Assumptions!$F$177+IF(H$5="F",H37,0)*Assumptions!$F$177+IF(H$5="F",H38,0)*Assumptions!$F$177+IF(H$5="F",H39,0)*Assumptions!$F$177+IF(H$5="F",H40,0)*Assumptions!$F$177)</f>
        <v>0</v>
      </c>
      <c r="K41" s="69" t="n">
        <f aca="false">IF(K$5="A",0,0+IF(I$5="F",I26,0)*Assumptions!$F$177+IF(I$5="F",I27,0)*Assumptions!$F$177+IF(I$5="F",I28,0)*Assumptions!$F$177+IF(I$5="F",I29,0)*Assumptions!$F$177+IF(I$5="F",I30,0)*Assumptions!$F$177+IF(I$5="F",I31,0)*Assumptions!$F$177+IF(I$5="F",I32,0)*Assumptions!$F$177+IF(I$5="F",I33,0)*Assumptions!$F$177+IF(I$5="F",I34,0)*Assumptions!$F$177+IF(I$5="F",I35,0)*Assumptions!$F$177+IF(I$5="F",I36,0)*Assumptions!$F$177+IF(I$5="F",I37,0)*Assumptions!$F$177+IF(I$5="F",I38,0)*Assumptions!$F$177+IF(I$5="F",I39,0)*Assumptions!$F$177+IF(I$5="F",I40,0)*Assumptions!$F$177)</f>
        <v>0</v>
      </c>
      <c r="L41" s="69" t="n">
        <f aca="false">IF(L$5="A",0,0+IF(J$5="F",J26,0)*Assumptions!$F$177+IF(J$5="F",J27,0)*Assumptions!$F$177+IF(J$5="F",J28,0)*Assumptions!$F$177+IF(J$5="F",J29,0)*Assumptions!$F$177+IF(J$5="F",J30,0)*Assumptions!$F$177+IF(J$5="F",J31,0)*Assumptions!$F$177+IF(J$5="F",J32,0)*Assumptions!$F$177+IF(J$5="F",J33,0)*Assumptions!$F$177+IF(J$5="F",J34,0)*Assumptions!$F$177+IF(J$5="F",J35,0)*Assumptions!$F$177+IF(J$5="F",J36,0)*Assumptions!$F$177+IF(J$5="F",J37,0)*Assumptions!$F$177+IF(J$5="F",J38,0)*Assumptions!$F$177+IF(J$5="F",J39,0)*Assumptions!$F$177+IF(J$5="F",J40,0)*Assumptions!$F$177)</f>
        <v>0</v>
      </c>
      <c r="M41" s="69" t="n">
        <f aca="false">IF(M$5="A",0,1*Assumptions!$F$176+IF(K$5="F",K26,0)*Assumptions!$F$177+IF(K$5="F",K27,0)*Assumptions!$F$177+IF(K$5="F",K28,0)*Assumptions!$F$177+IF(K$5="F",K29,0)*Assumptions!$F$177+IF(K$5="F",K30,0)*Assumptions!$F$177+IF(K$5="F",K31,0)*Assumptions!$F$177+IF(K$5="F",K32,0)*Assumptions!$F$177+IF(K$5="F",K33,0)*Assumptions!$F$177+IF(K$5="F",K34,0)*Assumptions!$F$177+IF(K$5="F",K35,0)*Assumptions!$F$177+IF(K$5="F",K36,0)*Assumptions!$F$177+IF(K$5="F",K37,0)*Assumptions!$F$177+IF(K$5="F",K38,0)*Assumptions!$F$177+IF(K$5="F",K39,0)*Assumptions!$F$177+IF(K$5="F",K40,0)*Assumptions!$F$177)</f>
        <v>1</v>
      </c>
      <c r="N41" s="69" t="n">
        <f aca="false">IF(N$5="A",0,1*Assumptions!$F$176+IF(L$5="F",L26,0)*Assumptions!$F$177+IF(L$5="F",L27,0)*Assumptions!$F$177+IF(L$5="F",L28,0)*Assumptions!$F$177+IF(L$5="F",L29,0)*Assumptions!$F$177+IF(L$5="F",L30,0)*Assumptions!$F$177+IF(L$5="F",L31,0)*Assumptions!$F$177+IF(L$5="F",L32,0)*Assumptions!$F$177+IF(L$5="F",L33,0)*Assumptions!$F$177+IF(L$5="F",L34,0)*Assumptions!$F$177+IF(L$5="F",L35,0)*Assumptions!$F$177+IF(L$5="F",L36,0)*Assumptions!$F$177+IF(L$5="F",L37,0)*Assumptions!$F$177+IF(L$5="F",L38,0)*Assumptions!$F$177+IF(L$5="F",L39,0)*Assumptions!$F$177+IF(L$5="F",L40,0)*Assumptions!$F$177)</f>
        <v>1</v>
      </c>
      <c r="O41" s="69" t="n">
        <f aca="false">IF(O$5="A",0,1*Assumptions!$F$176+IF(M$5="F",M26,0)*Assumptions!$F$177+IF(M$5="F",M27,0)*Assumptions!$F$177+IF(M$5="F",M28,0)*Assumptions!$F$177+IF(M$5="F",M29,0)*Assumptions!$F$177+IF(M$5="F",M30,0)*Assumptions!$F$177+IF(M$5="F",M31,0)*Assumptions!$F$177+IF(M$5="F",M32,0)*Assumptions!$F$177+IF(M$5="F",M33,0)*Assumptions!$F$177+IF(M$5="F",M34,0)*Assumptions!$F$177+IF(M$5="F",M35,0)*Assumptions!$F$177+IF(M$5="F",M36,0)*Assumptions!$F$177+IF(M$5="F",M37,0)*Assumptions!$F$177+IF(M$5="F",M38,0)*Assumptions!$F$177+IF(M$5="F",M39,0)*Assumptions!$F$177+IF(M$5="F",M40,0)*Assumptions!$F$177)</f>
        <v>2.14166666666667</v>
      </c>
      <c r="P41" s="69" t="n">
        <f aca="false">IF(P$5="A",0,0+IF(N$5="F",N26,0)*Assumptions!$F$177+IF(N$5="F",N27,0)*Assumptions!$F$177+IF(N$5="F",N28,0)*Assumptions!$F$177+IF(N$5="F",N29,0)*Assumptions!$F$177+IF(N$5="F",N30,0)*Assumptions!$F$177+IF(N$5="F",N31,0)*Assumptions!$F$177+IF(N$5="F",N32,0)*Assumptions!$F$177+IF(N$5="F",N33,0)*Assumptions!$F$177+IF(N$5="F",N34,0)*Assumptions!$F$177+IF(N$5="F",N35,0)*Assumptions!$F$177+IF(N$5="F",N36,0)*Assumptions!$F$177+IF(N$5="F",N37,0)*Assumptions!$F$177+IF(N$5="F",N38,0)*Assumptions!$F$177+IF(N$5="F",N39,0)*Assumptions!$F$177+IF(N$5="F",N40,0)*Assumptions!$F$177)</f>
        <v>1.13471805555556</v>
      </c>
      <c r="Q41" s="69" t="n">
        <f aca="false">IF(Q$5="A",0,2*Assumptions!$F$176+1*Assumptions!$F$176+1*Assumptions!$F$176+2*Assumptions!$F$176+1*Assumptions!$F$176+IF(O$5="F",O26,0)*Assumptions!$F$177+IF(O$5="F",O27,0)*Assumptions!$F$177+IF(O$5="F",O28,0)*Assumptions!$F$177+IF(O$5="F",O29,0)*Assumptions!$F$177+IF(O$5="F",O30,0)*Assumptions!$F$177+IF(O$5="F",O31,0)*Assumptions!$F$177+IF(O$5="F",O32,0)*Assumptions!$F$177+IF(O$5="F",O33,0)*Assumptions!$F$177+IF(O$5="F",O34,0)*Assumptions!$F$177+IF(O$5="F",O35,0)*Assumptions!$F$177+IF(O$5="F",O36,0)*Assumptions!$F$177+IF(O$5="F",O37,0)*Assumptions!$F$177+IF(O$5="F",O38,0)*Assumptions!$F$177+IF(O$5="F",O39,0)*Assumptions!$F$177+IF(O$5="F",O40,0)*Assumptions!$F$177)</f>
        <v>8.13045265046296</v>
      </c>
      <c r="R41" s="69" t="n">
        <f aca="false">IF(R$5="A",0,0+IF(P$5="F",P26,0)*Assumptions!$F$177+IF(P$5="F",P27,0)*Assumptions!$F$177+IF(P$5="F",P28,0)*Assumptions!$F$177+IF(P$5="F",P29,0)*Assumptions!$F$177+IF(P$5="F",P30,0)*Assumptions!$F$177+IF(P$5="F",P31,0)*Assumptions!$F$177+IF(P$5="F",P32,0)*Assumptions!$F$177+IF(P$5="F",P33,0)*Assumptions!$F$177+IF(P$5="F",P34,0)*Assumptions!$F$177+IF(P$5="F",P35,0)*Assumptions!$F$177+IF(P$5="F",P36,0)*Assumptions!$F$177+IF(P$5="F",P37,0)*Assumptions!$F$177+IF(P$5="F",P38,0)*Assumptions!$F$177+IF(P$5="F",P39,0)*Assumptions!$F$177+IF(P$5="F",P40,0)*Assumptions!$F$177)</f>
        <v>1.1515919816387</v>
      </c>
      <c r="S41" s="69" t="n">
        <f aca="false">IF(S$5="A",0,1*Assumptions!$F$176+1*Assumptions!$F$176+IF(Q$5="F",Q26,0)*Assumptions!$F$177+IF(Q$5="F",Q27,0)*Assumptions!$F$177+IF(Q$5="F",Q28,0)*Assumptions!$F$177+IF(Q$5="F",Q29,0)*Assumptions!$F$177+IF(Q$5="F",Q30,0)*Assumptions!$F$177+IF(Q$5="F",Q31,0)*Assumptions!$F$177+IF(Q$5="F",Q32,0)*Assumptions!$F$177+IF(Q$5="F",Q33,0)*Assumptions!$F$177+IF(Q$5="F",Q34,0)*Assumptions!$F$177+IF(Q$5="F",Q35,0)*Assumptions!$F$177+IF(Q$5="F",Q36,0)*Assumptions!$F$177+IF(Q$5="F",Q37,0)*Assumptions!$F$177+IF(Q$5="F",Q38,0)*Assumptions!$F$177+IF(Q$5="F",Q39,0)*Assumptions!$F$177+IF(Q$5="F",Q40,0)*Assumptions!$F$177)</f>
        <v>3.15127346005783</v>
      </c>
      <c r="T41" s="69" t="n">
        <f aca="false">IF(T$5="A",0,1*Assumptions!$F$176+IF(R$5="F",R26,0)*Assumptions!$F$177+IF(R$5="F",R27,0)*Assumptions!$F$177+IF(R$5="F",R28,0)*Assumptions!$F$177+IF(R$5="F",R29,0)*Assumptions!$F$177+IF(R$5="F",R30,0)*Assumptions!$F$177+IF(R$5="F",R31,0)*Assumptions!$F$177+IF(R$5="F",R32,0)*Assumptions!$F$177+IF(R$5="F",R33,0)*Assumptions!$F$177+IF(R$5="F",R34,0)*Assumptions!$F$177+IF(R$5="F",R35,0)*Assumptions!$F$177+IF(R$5="F",R36,0)*Assumptions!$F$177+IF(R$5="F",R37,0)*Assumptions!$F$177+IF(R$5="F",R38,0)*Assumptions!$F$177+IF(R$5="F",R39,0)*Assumptions!$F$177+IF(R$5="F",R40,0)*Assumptions!$F$177)</f>
        <v>2.2433382304387</v>
      </c>
      <c r="U41" s="69" t="n">
        <f aca="false">IF(U$5="A",0,1*Assumptions!$F$176+1*Assumptions!$F$176+IF(S$5="F",S26,0)*Assumptions!$F$177+IF(S$5="F",S27,0)*Assumptions!$F$177+IF(S$5="F",S28,0)*Assumptions!$F$177+IF(S$5="F",S29,0)*Assumptions!$F$177+IF(S$5="F",S30,0)*Assumptions!$F$177+IF(S$5="F",S31,0)*Assumptions!$F$177+IF(S$5="F",S32,0)*Assumptions!$F$177+IF(S$5="F",S33,0)*Assumptions!$F$177+IF(S$5="F",S34,0)*Assumptions!$F$177+IF(S$5="F",S35,0)*Assumptions!$F$177+IF(S$5="F",S36,0)*Assumptions!$F$177+IF(S$5="F",S37,0)*Assumptions!$F$177+IF(S$5="F",S38,0)*Assumptions!$F$177+IF(S$5="F",S39,0)*Assumptions!$F$177+IF(S$5="F",S40,0)*Assumptions!$F$177)</f>
        <v>3.2419596508661</v>
      </c>
      <c r="V41" s="69" t="n">
        <f aca="false">IF(V$5="A",0,0+IF(T$5="F",T26,0)*Assumptions!$F$177+IF(T$5="F",T27,0)*Assumptions!$F$177+IF(T$5="F",T28,0)*Assumptions!$F$177+IF(T$5="F",T29,0)*Assumptions!$F$177+IF(T$5="F",T30,0)*Assumptions!$F$177+IF(T$5="F",T31,0)*Assumptions!$F$177+IF(T$5="F",T32,0)*Assumptions!$F$177+IF(T$5="F",T33,0)*Assumptions!$F$177+IF(T$5="F",T34,0)*Assumptions!$F$177+IF(T$5="F",T35,0)*Assumptions!$F$177+IF(T$5="F",T36,0)*Assumptions!$F$177+IF(T$5="F",T37,0)*Assumptions!$F$177+IF(T$5="F",T38,0)*Assumptions!$F$177+IF(T$5="F",T39,0)*Assumptions!$F$177+IF(T$5="F",T40,0)*Assumptions!$F$177)</f>
        <v>1.27393162902948</v>
      </c>
      <c r="W41" s="69" t="n">
        <f aca="false">IF(W$5="A",0,0+IF(U$5="F",U26,0)*Assumptions!$F$177+IF(U$5="F",U27,0)*Assumptions!$F$177+IF(U$5="F",U28,0)*Assumptions!$F$177+IF(U$5="F",U29,0)*Assumptions!$F$177+IF(U$5="F",U30,0)*Assumptions!$F$177+IF(U$5="F",U31,0)*Assumptions!$F$177+IF(U$5="F",U32,0)*Assumptions!$F$177+IF(U$5="F",U33,0)*Assumptions!$F$177+IF(U$5="F",U34,0)*Assumptions!$F$177+IF(U$5="F",U35,0)*Assumptions!$F$177+IF(U$5="F",U36,0)*Assumptions!$F$177+IF(U$5="F",U37,0)*Assumptions!$F$177+IF(U$5="F",U38,0)*Assumptions!$F$177+IF(U$5="F",U39,0)*Assumptions!$F$177+IF(U$5="F",U40,0)*Assumptions!$F$177)</f>
        <v>1.28338765651627</v>
      </c>
      <c r="X41" s="69" t="n">
        <f aca="false">IF(X$5="A",0,0+IF(V$5="F",V26,0)*Assumptions!$F$177+IF(V$5="F",V27,0)*Assumptions!$F$177+IF(V$5="F",V28,0)*Assumptions!$F$177+IF(V$5="F",V29,0)*Assumptions!$F$177+IF(V$5="F",V30,0)*Assumptions!$F$177+IF(V$5="F",V31,0)*Assumptions!$F$177+IF(V$5="F",V32,0)*Assumptions!$F$177+IF(V$5="F",V33,0)*Assumptions!$F$177+IF(V$5="F",V34,0)*Assumptions!$F$177+IF(V$5="F",V35,0)*Assumptions!$F$177+IF(V$5="F",V36,0)*Assumptions!$F$177+IF(V$5="F",V37,0)*Assumptions!$F$177+IF(V$5="F",V38,0)*Assumptions!$F$177+IF(V$5="F",V39,0)*Assumptions!$F$177+IF(V$5="F",V40,0)*Assumptions!$F$177)</f>
        <v>1.3160638511504</v>
      </c>
      <c r="Y41" s="69" t="n">
        <f aca="false">IF(Y$5="A",0,2*Assumptions!$F$176+IF(W$5="F",W26,0)*Assumptions!$F$177+IF(W$5="F",W27,0)*Assumptions!$F$177+IF(W$5="F",W28,0)*Assumptions!$F$177+IF(W$5="F",W29,0)*Assumptions!$F$177+IF(W$5="F",W30,0)*Assumptions!$F$177+IF(W$5="F",W31,0)*Assumptions!$F$177+IF(W$5="F",W32,0)*Assumptions!$F$177+IF(W$5="F",W33,0)*Assumptions!$F$177+IF(W$5="F",W34,0)*Assumptions!$F$177+IF(W$5="F",W35,0)*Assumptions!$F$177+IF(W$5="F",W36,0)*Assumptions!$F$177+IF(W$5="F",W37,0)*Assumptions!$F$177+IF(W$5="F",W38,0)*Assumptions!$F$177+IF(W$5="F",W39,0)*Assumptions!$F$177+IF(W$5="F",W40,0)*Assumptions!$F$177)</f>
        <v>3.31539509087988</v>
      </c>
      <c r="Z41" s="69" t="n">
        <f aca="false">IF(Z$5="A",0,0+IF(X$5="F",X26,0)*Assumptions!$F$177+IF(X$5="F",X27,0)*Assumptions!$F$177+IF(X$5="F",X28,0)*Assumptions!$F$177+IF(X$5="F",X29,0)*Assumptions!$F$177+IF(X$5="F",X30,0)*Assumptions!$F$177+IF(X$5="F",X31,0)*Assumptions!$F$177+IF(X$5="F",X32,0)*Assumptions!$F$177+IF(X$5="F",X33,0)*Assumptions!$F$177+IF(X$5="F",X34,0)*Assumptions!$F$177+IF(X$5="F",X35,0)*Assumptions!$F$177+IF(X$5="F",X36,0)*Assumptions!$F$177+IF(X$5="F",X37,0)*Assumptions!$F$177+IF(X$5="F",X38,0)*Assumptions!$F$177+IF(X$5="F",X39,0)*Assumptions!$F$177+IF(X$5="F",X40,0)*Assumptions!$F$177)</f>
        <v>1.31482777713831</v>
      </c>
      <c r="AA41" s="69" t="n">
        <f aca="false">IF(AA$5="A",0,0+IF(Y$5="F",Y26,0)*Assumptions!$F$177+IF(Y$5="F",Y27,0)*Assumptions!$F$177+IF(Y$5="F",Y28,0)*Assumptions!$F$177+IF(Y$5="F",Y29,0)*Assumptions!$F$177+IF(Y$5="F",Y30,0)*Assumptions!$F$177+IF(Y$5="F",Y31,0)*Assumptions!$F$177+IF(Y$5="F",Y32,0)*Assumptions!$F$177+IF(Y$5="F",Y33,0)*Assumptions!$F$177+IF(Y$5="F",Y34,0)*Assumptions!$F$177+IF(Y$5="F",Y35,0)*Assumptions!$F$177+IF(Y$5="F",Y36,0)*Assumptions!$F$177+IF(Y$5="F",Y37,0)*Assumptions!$F$177+IF(Y$5="F",Y38,0)*Assumptions!$F$177+IF(Y$5="F",Y39,0)*Assumptions!$F$177+IF(Y$5="F",Y40,0)*Assumptions!$F$177)</f>
        <v>1.31484993557367</v>
      </c>
      <c r="AB41" s="69" t="n">
        <f aca="false">IF(AB$5="A",0,0+IF(Z$5="F",Z26,0)*Assumptions!$F$177+IF(Z$5="F",Z27,0)*Assumptions!$F$177+IF(Z$5="F",Z28,0)*Assumptions!$F$177+IF(Z$5="F",Z29,0)*Assumptions!$F$177+IF(Z$5="F",Z30,0)*Assumptions!$F$177+IF(Z$5="F",Z31,0)*Assumptions!$F$177+IF(Z$5="F",Z32,0)*Assumptions!$F$177+IF(Z$5="F",Z33,0)*Assumptions!$F$177+IF(Z$5="F",Z34,0)*Assumptions!$F$177+IF(Z$5="F",Z35,0)*Assumptions!$F$177+IF(Z$5="F",Z36,0)*Assumptions!$F$177+IF(Z$5="F",Z37,0)*Assumptions!$F$177+IF(Z$5="F",Z38,0)*Assumptions!$F$177+IF(Z$5="F",Z39,0)*Assumptions!$F$177+IF(Z$5="F",Z40,0)*Assumptions!$F$177)</f>
        <v>1.33486008612609</v>
      </c>
    </row>
    <row r="42" customFormat="false" ht="15" hidden="false" customHeight="false" outlineLevel="0" collapsed="false">
      <c r="A42" s="22" t="s">
        <v>1089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customFormat="false" ht="15" hidden="false" customHeight="false" outlineLevel="0" collapsed="false">
      <c r="A43" s="28" t="s">
        <v>1090</v>
      </c>
      <c r="B43" s="63" t="s">
        <v>1091</v>
      </c>
      <c r="C43" s="64" t="n">
        <f aca="false">SUM(E43:P43)</f>
        <v>268442.887725</v>
      </c>
      <c r="D43" s="64" t="n">
        <f aca="false">SUM(Q43:AB43)</f>
        <v>273970.607744417</v>
      </c>
      <c r="E43" s="65" t="n">
        <f aca="false">E9*Assumptions!$D$76*IF(Assumptions!E$191=2027,1+Assumptions!$F$175,1)/12</f>
        <v>22500</v>
      </c>
      <c r="F43" s="65" t="n">
        <f aca="false">F9*Assumptions!$D$76*IF(Assumptions!F$191=2027,1+Assumptions!$F$175,1)/12</f>
        <v>22500</v>
      </c>
      <c r="G43" s="65" t="n">
        <f aca="false">G9*Assumptions!$D$76*IF(Assumptions!G$191=2027,1+Assumptions!$F$175,1)/12</f>
        <v>22500</v>
      </c>
      <c r="H43" s="65" t="n">
        <f aca="false">H9*Assumptions!$D$76*IF(Assumptions!H$191=2027,1+Assumptions!$F$175,1)/12</f>
        <v>22500</v>
      </c>
      <c r="I43" s="65" t="n">
        <f aca="false">I9*Assumptions!$D$76*IF(Assumptions!I$191=2027,1+Assumptions!$F$175,1)/12</f>
        <v>22500</v>
      </c>
      <c r="J43" s="65" t="n">
        <f aca="false">J9*Assumptions!$D$76*IF(Assumptions!J$191=2027,1+Assumptions!$F$175,1)/12</f>
        <v>22500</v>
      </c>
      <c r="K43" s="65" t="n">
        <f aca="false">K9*Assumptions!$D$76*IF(Assumptions!K$191=2027,1+Assumptions!$F$175,1)/12</f>
        <v>22500</v>
      </c>
      <c r="L43" s="65" t="n">
        <f aca="false">L9*Assumptions!$D$76*IF(Assumptions!L$191=2027,1+Assumptions!$F$175,1)/12</f>
        <v>22500</v>
      </c>
      <c r="M43" s="65" t="n">
        <f aca="false">M9*Assumptions!$D$76*IF(Assumptions!M$191=2027,1+Assumptions!$F$175,1)/12</f>
        <v>22275</v>
      </c>
      <c r="N43" s="65" t="n">
        <f aca="false">N9*Assumptions!$D$76*IF(Assumptions!N$191=2027,1+Assumptions!$F$175,1)/12</f>
        <v>22052.25</v>
      </c>
      <c r="O43" s="65" t="n">
        <f aca="false">O9*Assumptions!$D$76*IF(Assumptions!O$191=2027,1+Assumptions!$F$175,1)/12</f>
        <v>22056.7275</v>
      </c>
      <c r="P43" s="65" t="n">
        <f aca="false">P9*Assumptions!$D$76*IF(Assumptions!P$191=2027,1+Assumptions!$F$175,1)/12</f>
        <v>22058.910225</v>
      </c>
      <c r="Q43" s="65" t="n">
        <f aca="false">Q9*Assumptions!$D$76*IF(Assumptions!Q$191=2027,1+Assumptions!$F$175,1)/12</f>
        <v>22830.9031495463</v>
      </c>
      <c r="R43" s="65" t="n">
        <f aca="false">R9*Assumptions!$D$76*IF(Assumptions!R$191=2027,1+Assumptions!$F$175,1)/12</f>
        <v>22830.8812476758</v>
      </c>
      <c r="S43" s="65" t="n">
        <f aca="false">S9*Assumptions!$D$76*IF(Assumptions!S$191=2027,1+Assumptions!$F$175,1)/12</f>
        <v>22830.8821560278</v>
      </c>
      <c r="T43" s="65" t="n">
        <f aca="false">T9*Assumptions!$D$76*IF(Assumptions!T$191=2027,1+Assumptions!$F$175,1)/12</f>
        <v>22830.882365963</v>
      </c>
      <c r="U43" s="65" t="n">
        <f aca="false">U9*Assumptions!$D$76*IF(Assumptions!U$191=2027,1+Assumptions!$F$175,1)/12</f>
        <v>22830.8823547801</v>
      </c>
      <c r="V43" s="65" t="n">
        <f aca="false">V9*Assumptions!$D$76*IF(Assumptions!V$191=2027,1+Assumptions!$F$175,1)/12</f>
        <v>22830.8823527926</v>
      </c>
      <c r="W43" s="65" t="n">
        <f aca="false">W9*Assumptions!$D$76*IF(Assumptions!W$191=2027,1+Assumptions!$F$175,1)/12</f>
        <v>22830.8823529243</v>
      </c>
      <c r="X43" s="65" t="n">
        <f aca="false">X9*Assumptions!$D$76*IF(Assumptions!X$191=2027,1+Assumptions!$F$175,1)/12</f>
        <v>22830.8823529428</v>
      </c>
      <c r="Y43" s="65" t="n">
        <f aca="false">Y9*Assumptions!$D$76*IF(Assumptions!Y$191=2027,1+Assumptions!$F$175,1)/12</f>
        <v>22830.8823529413</v>
      </c>
      <c r="Z43" s="65" t="n">
        <f aca="false">Z9*Assumptions!$D$76*IF(Assumptions!Z$191=2027,1+Assumptions!$F$175,1)/12</f>
        <v>22830.8823529412</v>
      </c>
      <c r="AA43" s="65" t="n">
        <f aca="false">AA9*Assumptions!$D$76*IF(Assumptions!AA$191=2027,1+Assumptions!$F$175,1)/12</f>
        <v>22830.8823529412</v>
      </c>
      <c r="AB43" s="65" t="n">
        <f aca="false">AB9*Assumptions!$D$76*IF(Assumptions!AB$191=2027,1+Assumptions!$F$175,1)/12</f>
        <v>22830.8823529412</v>
      </c>
    </row>
    <row r="44" customFormat="false" ht="15" hidden="false" customHeight="false" outlineLevel="0" collapsed="false">
      <c r="A44" s="28" t="s">
        <v>1092</v>
      </c>
      <c r="B44" s="63" t="s">
        <v>1091</v>
      </c>
      <c r="C44" s="64" t="n">
        <f aca="false">SUM(E44:P44)</f>
        <v>566988.425483333</v>
      </c>
      <c r="D44" s="64" t="n">
        <f aca="false">SUM(Q44:AB44)</f>
        <v>706523.830835822</v>
      </c>
      <c r="E44" s="65" t="n">
        <f aca="false">E10*Assumptions!$D$77*IF(Assumptions!E$191=2027,1+Assumptions!$F$175,1)/12</f>
        <v>43500</v>
      </c>
      <c r="F44" s="65" t="n">
        <f aca="false">F10*Assumptions!$D$77*IF(Assumptions!F$191=2027,1+Assumptions!$F$175,1)/12</f>
        <v>43500</v>
      </c>
      <c r="G44" s="65" t="n">
        <f aca="false">G10*Assumptions!$D$77*IF(Assumptions!G$191=2027,1+Assumptions!$F$175,1)/12</f>
        <v>48333.3333333333</v>
      </c>
      <c r="H44" s="65" t="n">
        <f aca="false">H10*Assumptions!$D$77*IF(Assumptions!H$191=2027,1+Assumptions!$F$175,1)/12</f>
        <v>48333.3333333333</v>
      </c>
      <c r="I44" s="65" t="n">
        <f aca="false">I10*Assumptions!$D$77*IF(Assumptions!I$191=2027,1+Assumptions!$F$175,1)/12</f>
        <v>48333.3333333333</v>
      </c>
      <c r="J44" s="65" t="n">
        <f aca="false">J10*Assumptions!$D$77*IF(Assumptions!J$191=2027,1+Assumptions!$F$175,1)/12</f>
        <v>48333.3333333333</v>
      </c>
      <c r="K44" s="65" t="n">
        <f aca="false">K10*Assumptions!$D$77*IF(Assumptions!K$191=2027,1+Assumptions!$F$175,1)/12</f>
        <v>48333.3333333333</v>
      </c>
      <c r="L44" s="65" t="n">
        <f aca="false">L10*Assumptions!$D$77*IF(Assumptions!L$191=2027,1+Assumptions!$F$175,1)/12</f>
        <v>48333.3333333333</v>
      </c>
      <c r="M44" s="65" t="n">
        <f aca="false">M10*Assumptions!$D$77*IF(Assumptions!M$191=2027,1+Assumptions!$F$175,1)/12</f>
        <v>47850</v>
      </c>
      <c r="N44" s="65" t="n">
        <f aca="false">N10*Assumptions!$D$77*IF(Assumptions!N$191=2027,1+Assumptions!$F$175,1)/12</f>
        <v>47371.5</v>
      </c>
      <c r="O44" s="65" t="n">
        <f aca="false">O10*Assumptions!$D$77*IF(Assumptions!O$191=2027,1+Assumptions!$F$175,1)/12</f>
        <v>47381.1183333333</v>
      </c>
      <c r="P44" s="65" t="n">
        <f aca="false">P10*Assumptions!$D$77*IF(Assumptions!P$191=2027,1+Assumptions!$F$175,1)/12</f>
        <v>47385.80715</v>
      </c>
      <c r="Q44" s="65" t="n">
        <f aca="false">Q10*Assumptions!$D$77*IF(Assumptions!Q$191=2027,1+Assumptions!$F$175,1)/12</f>
        <v>59049.1623212475</v>
      </c>
      <c r="R44" s="65" t="n">
        <f aca="false">R10*Assumptions!$D$77*IF(Assumptions!R$191=2027,1+Assumptions!$F$175,1)/12</f>
        <v>58949.065272785</v>
      </c>
      <c r="S44" s="65" t="n">
        <f aca="false">S10*Assumptions!$D$77*IF(Assumptions!S$191=2027,1+Assumptions!$F$175,1)/12</f>
        <v>58850.0177240597</v>
      </c>
      <c r="T44" s="65" t="n">
        <f aca="false">T10*Assumptions!$D$77*IF(Assumptions!T$191=2027,1+Assumptions!$F$175,1)/12</f>
        <v>58852.0091700316</v>
      </c>
      <c r="U44" s="65" t="n">
        <f aca="false">U10*Assumptions!$D$77*IF(Assumptions!U$191=2027,1+Assumptions!$F$175,1)/12</f>
        <v>58852.9797310591</v>
      </c>
      <c r="V44" s="65" t="n">
        <f aca="false">V10*Assumptions!$D$77*IF(Assumptions!V$191=2027,1+Assumptions!$F$175,1)/12</f>
        <v>58852.9501109891</v>
      </c>
      <c r="W44" s="65" t="n">
        <f aca="false">W10*Assumptions!$D$77*IF(Assumptions!W$191=2027,1+Assumptions!$F$175,1)/12</f>
        <v>58852.9407015795</v>
      </c>
      <c r="X44" s="65" t="n">
        <f aca="false">X10*Assumptions!$D$77*IF(Assumptions!X$191=2027,1+Assumptions!$F$175,1)/12</f>
        <v>58852.9410918743</v>
      </c>
      <c r="Y44" s="65" t="n">
        <f aca="false">Y10*Assumptions!$D$77*IF(Assumptions!Y$191=2027,1+Assumptions!$F$175,1)/12</f>
        <v>58852.9411820655</v>
      </c>
      <c r="Z44" s="65" t="n">
        <f aca="false">Z10*Assumptions!$D$77*IF(Assumptions!Z$191=2027,1+Assumptions!$F$175,1)/12</f>
        <v>58852.9411772606</v>
      </c>
      <c r="AA44" s="65" t="n">
        <f aca="false">AA10*Assumptions!$D$77*IF(Assumptions!AA$191=2027,1+Assumptions!$F$175,1)/12</f>
        <v>58852.9411764068</v>
      </c>
      <c r="AB44" s="65" t="n">
        <f aca="false">AB10*Assumptions!$D$77*IF(Assumptions!AB$191=2027,1+Assumptions!$F$175,1)/12</f>
        <v>58852.9411764633</v>
      </c>
    </row>
    <row r="45" customFormat="false" ht="15" hidden="false" customHeight="false" outlineLevel="0" collapsed="false">
      <c r="A45" s="28" t="s">
        <v>1093</v>
      </c>
      <c r="B45" s="63" t="s">
        <v>1091</v>
      </c>
      <c r="C45" s="64" t="n">
        <f aca="false">SUM(E45:P45)</f>
        <v>586852.69181</v>
      </c>
      <c r="D45" s="64" t="n">
        <f aca="false">SUM(Q45:AB45)</f>
        <v>703410.093734162</v>
      </c>
      <c r="E45" s="65" t="n">
        <f aca="false">E11*Assumptions!$D$78*IF(Assumptions!E$191=2027,1+Assumptions!$F$175,1)/12</f>
        <v>44000</v>
      </c>
      <c r="F45" s="65" t="n">
        <f aca="false">F11*Assumptions!$D$78*IF(Assumptions!F$191=2027,1+Assumptions!$F$175,1)/12</f>
        <v>47666.6666666667</v>
      </c>
      <c r="G45" s="65" t="n">
        <f aca="false">G11*Assumptions!$D$78*IF(Assumptions!G$191=2027,1+Assumptions!$F$175,1)/12</f>
        <v>47666.6666666667</v>
      </c>
      <c r="H45" s="65" t="n">
        <f aca="false">H11*Assumptions!$D$78*IF(Assumptions!H$191=2027,1+Assumptions!$F$175,1)/12</f>
        <v>47666.6666666667</v>
      </c>
      <c r="I45" s="65" t="n">
        <f aca="false">I11*Assumptions!$D$78*IF(Assumptions!I$191=2027,1+Assumptions!$F$175,1)/12</f>
        <v>51333.3333333333</v>
      </c>
      <c r="J45" s="65" t="n">
        <f aca="false">J11*Assumptions!$D$78*IF(Assumptions!J$191=2027,1+Assumptions!$F$175,1)/12</f>
        <v>51333.3333333333</v>
      </c>
      <c r="K45" s="65" t="n">
        <f aca="false">K11*Assumptions!$D$78*IF(Assumptions!K$191=2027,1+Assumptions!$F$175,1)/12</f>
        <v>47666.6666666667</v>
      </c>
      <c r="L45" s="65" t="n">
        <f aca="false">L11*Assumptions!$D$78*IF(Assumptions!L$191=2027,1+Assumptions!$F$175,1)/12</f>
        <v>47666.6666666667</v>
      </c>
      <c r="M45" s="65" t="n">
        <f aca="false">M11*Assumptions!$D$78*IF(Assumptions!M$191=2027,1+Assumptions!$F$175,1)/12</f>
        <v>50856.6666666667</v>
      </c>
      <c r="N45" s="65" t="n">
        <f aca="false">N11*Assumptions!$D$78*IF(Assumptions!N$191=2027,1+Assumptions!$F$175,1)/12</f>
        <v>50348.1</v>
      </c>
      <c r="O45" s="65" t="n">
        <f aca="false">O11*Assumptions!$D$78*IF(Assumptions!O$191=2027,1+Assumptions!$F$175,1)/12</f>
        <v>50321.2856666667</v>
      </c>
      <c r="P45" s="65" t="n">
        <f aca="false">P11*Assumptions!$D$78*IF(Assumptions!P$191=2027,1+Assumptions!$F$175,1)/12</f>
        <v>50326.6394766667</v>
      </c>
      <c r="Q45" s="65" t="n">
        <f aca="false">Q11*Assumptions!$D$78*IF(Assumptions!Q$191=2027,1+Assumptions!$F$175,1)/12</f>
        <v>55883.2939747665</v>
      </c>
      <c r="R45" s="65" t="n">
        <f aca="false">R11*Assumptions!$D$78*IF(Assumptions!R$191=2027,1+Assumptions!$F$175,1)/12</f>
        <v>55845.2863416688</v>
      </c>
      <c r="S45" s="65" t="n">
        <f aca="false">S11*Assumptions!$D$78*IF(Assumptions!S$191=2027,1+Assumptions!$F$175,1)/12</f>
        <v>55807.7141968356</v>
      </c>
      <c r="T45" s="65" t="n">
        <f aca="false">T11*Assumptions!$D$78*IF(Assumptions!T$191=2027,1+Assumptions!$F$175,1)/12</f>
        <v>59603.469994615</v>
      </c>
      <c r="U45" s="65" t="n">
        <f aca="false">U11*Assumptions!$D$78*IF(Assumptions!U$191=2027,1+Assumptions!$F$175,1)/12</f>
        <v>59565.8881580855</v>
      </c>
      <c r="V45" s="65" t="n">
        <f aca="false">V11*Assumptions!$D$78*IF(Assumptions!V$191=2027,1+Assumptions!$F$175,1)/12</f>
        <v>59528.306418473</v>
      </c>
      <c r="W45" s="65" t="n">
        <f aca="false">W11*Assumptions!$D$78*IF(Assumptions!W$191=2027,1+Assumptions!$F$175,1)/12</f>
        <v>59529.0580542344</v>
      </c>
      <c r="X45" s="65" t="n">
        <f aca="false">X11*Assumptions!$D$78*IF(Assumptions!X$191=2027,1+Assumptions!$F$175,1)/12</f>
        <v>59529.4263552729</v>
      </c>
      <c r="Y45" s="65" t="n">
        <f aca="false">Y11*Assumptions!$D$78*IF(Assumptions!Y$191=2027,1+Assumptions!$F$175,1)/12</f>
        <v>59529.4151559049</v>
      </c>
      <c r="Z45" s="65" t="n">
        <f aca="false">Z11*Assumptions!$D$78*IF(Assumptions!Z$191=2027,1+Assumptions!$F$175,1)/12</f>
        <v>59529.4115848882</v>
      </c>
      <c r="AA45" s="65" t="n">
        <f aca="false">AA11*Assumptions!$D$78*IF(Assumptions!AA$191=2027,1+Assumptions!$F$175,1)/12</f>
        <v>59529.4117325921</v>
      </c>
      <c r="AB45" s="65" t="n">
        <f aca="false">AB11*Assumptions!$D$78*IF(Assumptions!AB$191=2027,1+Assumptions!$F$175,1)/12</f>
        <v>59529.4117668252</v>
      </c>
    </row>
    <row r="46" customFormat="false" ht="15" hidden="false" customHeight="false" outlineLevel="0" collapsed="false">
      <c r="A46" s="28" t="s">
        <v>1094</v>
      </c>
      <c r="B46" s="63" t="s">
        <v>1091</v>
      </c>
      <c r="C46" s="64" t="n">
        <f aca="false">SUM(E46:P46)</f>
        <v>169427.322655</v>
      </c>
      <c r="D46" s="64" t="n">
        <f aca="false">SUM(Q46:AB46)</f>
        <v>209860.066209765</v>
      </c>
      <c r="E46" s="65" t="n">
        <f aca="false">E12*Assumptions!$D$79*IF(Assumptions!E$191=2027,1+Assumptions!$F$175,1)/12</f>
        <v>12916.6666666667</v>
      </c>
      <c r="F46" s="65" t="n">
        <f aca="false">F12*Assumptions!$D$79*IF(Assumptions!F$191=2027,1+Assumptions!$F$175,1)/12</f>
        <v>12916.6666666667</v>
      </c>
      <c r="G46" s="65" t="n">
        <f aca="false">G12*Assumptions!$D$79*IF(Assumptions!G$191=2027,1+Assumptions!$F$175,1)/12</f>
        <v>12916.6666666667</v>
      </c>
      <c r="H46" s="65" t="n">
        <f aca="false">H12*Assumptions!$D$79*IF(Assumptions!H$191=2027,1+Assumptions!$F$175,1)/12</f>
        <v>12916.6666666667</v>
      </c>
      <c r="I46" s="65" t="n">
        <f aca="false">I12*Assumptions!$D$79*IF(Assumptions!I$191=2027,1+Assumptions!$F$175,1)/12</f>
        <v>12916.6666666667</v>
      </c>
      <c r="J46" s="65" t="n">
        <f aca="false">J12*Assumptions!$D$79*IF(Assumptions!J$191=2027,1+Assumptions!$F$175,1)/12</f>
        <v>12916.6666666667</v>
      </c>
      <c r="K46" s="65" t="n">
        <f aca="false">K12*Assumptions!$D$79*IF(Assumptions!K$191=2027,1+Assumptions!$F$175,1)/12</f>
        <v>15500</v>
      </c>
      <c r="L46" s="65" t="n">
        <f aca="false">L12*Assumptions!$D$79*IF(Assumptions!L$191=2027,1+Assumptions!$F$175,1)/12</f>
        <v>15500</v>
      </c>
      <c r="M46" s="65" t="n">
        <f aca="false">M12*Assumptions!$D$79*IF(Assumptions!M$191=2027,1+Assumptions!$F$175,1)/12</f>
        <v>15345</v>
      </c>
      <c r="N46" s="65" t="n">
        <f aca="false">N12*Assumptions!$D$79*IF(Assumptions!N$191=2027,1+Assumptions!$F$175,1)/12</f>
        <v>15191.55</v>
      </c>
      <c r="O46" s="65" t="n">
        <f aca="false">O12*Assumptions!$D$79*IF(Assumptions!O$191=2027,1+Assumptions!$F$175,1)/12</f>
        <v>15194.6345</v>
      </c>
      <c r="P46" s="65" t="n">
        <f aca="false">P12*Assumptions!$D$79*IF(Assumptions!P$191=2027,1+Assumptions!$F$175,1)/12</f>
        <v>15196.138155</v>
      </c>
      <c r="Q46" s="65" t="n">
        <f aca="false">Q12*Assumptions!$D$79*IF(Assumptions!Q$191=2027,1+Assumptions!$F$175,1)/12</f>
        <v>15727.9555030207</v>
      </c>
      <c r="R46" s="65" t="n">
        <f aca="false">R12*Assumptions!$D$79*IF(Assumptions!R$191=2027,1+Assumptions!$F$175,1)/12</f>
        <v>15727.9404150655</v>
      </c>
      <c r="S46" s="65" t="n">
        <f aca="false">S12*Assumptions!$D$79*IF(Assumptions!S$191=2027,1+Assumptions!$F$175,1)/12</f>
        <v>15727.9410408191</v>
      </c>
      <c r="T46" s="65" t="n">
        <f aca="false">T12*Assumptions!$D$79*IF(Assumptions!T$191=2027,1+Assumptions!$F$175,1)/12</f>
        <v>15727.9411854412</v>
      </c>
      <c r="U46" s="65" t="n">
        <f aca="false">U12*Assumptions!$D$79*IF(Assumptions!U$191=2027,1+Assumptions!$F$175,1)/12</f>
        <v>15727.9411777374</v>
      </c>
      <c r="V46" s="65" t="n">
        <f aca="false">V12*Assumptions!$D$79*IF(Assumptions!V$191=2027,1+Assumptions!$F$175,1)/12</f>
        <v>15727.9411763682</v>
      </c>
      <c r="W46" s="65" t="n">
        <f aca="false">W12*Assumptions!$D$79*IF(Assumptions!W$191=2027,1+Assumptions!$F$175,1)/12</f>
        <v>15727.9411764589</v>
      </c>
      <c r="X46" s="65" t="n">
        <f aca="false">X12*Assumptions!$D$79*IF(Assumptions!X$191=2027,1+Assumptions!$F$175,1)/12</f>
        <v>15727.9411764717</v>
      </c>
      <c r="Y46" s="65" t="n">
        <f aca="false">Y12*Assumptions!$D$79*IF(Assumptions!Y$191=2027,1+Assumptions!$F$175,1)/12</f>
        <v>21075.4411764707</v>
      </c>
      <c r="Z46" s="65" t="n">
        <f aca="false">Z12*Assumptions!$D$79*IF(Assumptions!Z$191=2027,1+Assumptions!$F$175,1)/12</f>
        <v>21021.9661764706</v>
      </c>
      <c r="AA46" s="65" t="n">
        <f aca="false">AA12*Assumptions!$D$79*IF(Assumptions!AA$191=2027,1+Assumptions!$F$175,1)/12</f>
        <v>20969.0259264706</v>
      </c>
      <c r="AB46" s="65" t="n">
        <f aca="false">AB12*Assumptions!$D$79*IF(Assumptions!AB$191=2027,1+Assumptions!$F$175,1)/12</f>
        <v>20970.0900789706</v>
      </c>
    </row>
    <row r="47" customFormat="false" ht="15" hidden="false" customHeight="false" outlineLevel="0" collapsed="false">
      <c r="A47" s="28" t="s">
        <v>1095</v>
      </c>
      <c r="B47" s="63" t="s">
        <v>1091</v>
      </c>
      <c r="C47" s="64" t="n">
        <f aca="false">SUM(E47:P47)</f>
        <v>238844.386670525</v>
      </c>
      <c r="D47" s="64" t="n">
        <f aca="false">SUM(Q47:AB47)</f>
        <v>305535.014378108</v>
      </c>
      <c r="E47" s="65" t="n">
        <f aca="false">E13*Assumptions!$D$80*IF(Assumptions!E$191=2027,1+Assumptions!$F$175,1)/12</f>
        <v>20000</v>
      </c>
      <c r="F47" s="65" t="n">
        <f aca="false">F13*Assumptions!$D$80*IF(Assumptions!F$191=2027,1+Assumptions!$F$175,1)/12</f>
        <v>20000</v>
      </c>
      <c r="G47" s="65" t="n">
        <f aca="false">G13*Assumptions!$D$80*IF(Assumptions!G$191=2027,1+Assumptions!$F$175,1)/12</f>
        <v>20000</v>
      </c>
      <c r="H47" s="65" t="n">
        <f aca="false">H13*Assumptions!$D$80*IF(Assumptions!H$191=2027,1+Assumptions!$F$175,1)/12</f>
        <v>20000</v>
      </c>
      <c r="I47" s="65" t="n">
        <f aca="false">I13*Assumptions!$D$80*IF(Assumptions!I$191=2027,1+Assumptions!$F$175,1)/12</f>
        <v>20000</v>
      </c>
      <c r="J47" s="65" t="n">
        <f aca="false">J13*Assumptions!$D$80*IF(Assumptions!J$191=2027,1+Assumptions!$F$175,1)/12</f>
        <v>20000</v>
      </c>
      <c r="K47" s="65" t="n">
        <f aca="false">K13*Assumptions!$D$80*IF(Assumptions!K$191=2027,1+Assumptions!$F$175,1)/12</f>
        <v>20000</v>
      </c>
      <c r="L47" s="65" t="n">
        <f aca="false">L13*Assumptions!$D$80*IF(Assumptions!L$191=2027,1+Assumptions!$F$175,1)/12</f>
        <v>20000</v>
      </c>
      <c r="M47" s="65" t="n">
        <f aca="false">M13*Assumptions!$D$80*IF(Assumptions!M$191=2027,1+Assumptions!$F$175,1)/12</f>
        <v>19833.3333333333</v>
      </c>
      <c r="N47" s="65" t="n">
        <f aca="false">N13*Assumptions!$D$80*IF(Assumptions!N$191=2027,1+Assumptions!$F$175,1)/12</f>
        <v>19668.0555555556</v>
      </c>
      <c r="O47" s="65" t="n">
        <f aca="false">O13*Assumptions!$D$80*IF(Assumptions!O$191=2027,1+Assumptions!$F$175,1)/12</f>
        <v>19670.8217592593</v>
      </c>
      <c r="P47" s="65" t="n">
        <f aca="false">P13*Assumptions!$D$80*IF(Assumptions!P$191=2027,1+Assumptions!$F$175,1)/12</f>
        <v>19672.1760223765</v>
      </c>
      <c r="Q47" s="65" t="n">
        <f aca="false">Q13*Assumptions!$D$80*IF(Assumptions!Q$191=2027,1+Assumptions!$F$175,1)/12</f>
        <v>25535.6666441334</v>
      </c>
      <c r="R47" s="65" t="n">
        <f aca="false">R13*Assumptions!$D$80*IF(Assumptions!R$191=2027,1+Assumptions!$F$175,1)/12</f>
        <v>25492.5302597726</v>
      </c>
      <c r="S47" s="65" t="n">
        <f aca="false">S13*Assumptions!$D$80*IF(Assumptions!S$191=2027,1+Assumptions!$F$175,1)/12</f>
        <v>25449.7650258008</v>
      </c>
      <c r="T47" s="65" t="n">
        <f aca="false">T13*Assumptions!$D$80*IF(Assumptions!T$191=2027,1+Assumptions!$F$175,1)/12</f>
        <v>25450.4808726202</v>
      </c>
      <c r="U47" s="65" t="n">
        <f aca="false">U13*Assumptions!$D$80*IF(Assumptions!U$191=2027,1+Assumptions!$F$175,1)/12</f>
        <v>25450.8312841798</v>
      </c>
      <c r="V47" s="65" t="n">
        <f aca="false">V13*Assumptions!$D$80*IF(Assumptions!V$191=2027,1+Assumptions!$F$175,1)/12</f>
        <v>25450.8223986933</v>
      </c>
      <c r="W47" s="65" t="n">
        <f aca="false">W13*Assumptions!$D$80*IF(Assumptions!W$191=2027,1+Assumptions!$F$175,1)/12</f>
        <v>25450.8195526427</v>
      </c>
      <c r="X47" s="65" t="n">
        <f aca="false">X13*Assumptions!$D$80*IF(Assumptions!X$191=2027,1+Assumptions!$F$175,1)/12</f>
        <v>25450.8196504055</v>
      </c>
      <c r="Y47" s="65" t="n">
        <f aca="false">Y13*Assumptions!$D$80*IF(Assumptions!Y$191=2027,1+Assumptions!$F$175,1)/12</f>
        <v>25450.8196733079</v>
      </c>
      <c r="Z47" s="65" t="n">
        <f aca="false">Z13*Assumptions!$D$80*IF(Assumptions!Z$191=2027,1+Assumptions!$F$175,1)/12</f>
        <v>25450.8196723024</v>
      </c>
      <c r="AA47" s="65" t="n">
        <f aca="false">AA13*Assumptions!$D$80*IF(Assumptions!AA$191=2027,1+Assumptions!$F$175,1)/12</f>
        <v>25450.8196721199</v>
      </c>
      <c r="AB47" s="65" t="n">
        <f aca="false">AB13*Assumptions!$D$80*IF(Assumptions!AB$191=2027,1+Assumptions!$F$175,1)/12</f>
        <v>25450.8196721298</v>
      </c>
    </row>
    <row r="48" customFormat="false" ht="15" hidden="false" customHeight="false" outlineLevel="0" collapsed="false">
      <c r="A48" s="28" t="s">
        <v>1096</v>
      </c>
      <c r="B48" s="63" t="s">
        <v>1091</v>
      </c>
      <c r="C48" s="64" t="n">
        <f aca="false">SUM(E48:P48)</f>
        <v>128378.857835407</v>
      </c>
      <c r="D48" s="64" t="n">
        <f aca="false">SUM(Q48:AB48)</f>
        <v>131326.235069674</v>
      </c>
      <c r="E48" s="65" t="n">
        <f aca="false">E14*Assumptions!$D$81*IF(Assumptions!E$191=2027,1+Assumptions!$F$175,1)/12</f>
        <v>10750</v>
      </c>
      <c r="F48" s="65" t="n">
        <f aca="false">F14*Assumptions!$D$81*IF(Assumptions!F$191=2027,1+Assumptions!$F$175,1)/12</f>
        <v>10750</v>
      </c>
      <c r="G48" s="65" t="n">
        <f aca="false">G14*Assumptions!$D$81*IF(Assumptions!G$191=2027,1+Assumptions!$F$175,1)/12</f>
        <v>10750</v>
      </c>
      <c r="H48" s="65" t="n">
        <f aca="false">H14*Assumptions!$D$81*IF(Assumptions!H$191=2027,1+Assumptions!$F$175,1)/12</f>
        <v>10750</v>
      </c>
      <c r="I48" s="65" t="n">
        <f aca="false">I14*Assumptions!$D$81*IF(Assumptions!I$191=2027,1+Assumptions!$F$175,1)/12</f>
        <v>10750</v>
      </c>
      <c r="J48" s="65" t="n">
        <f aca="false">J14*Assumptions!$D$81*IF(Assumptions!J$191=2027,1+Assumptions!$F$175,1)/12</f>
        <v>10750</v>
      </c>
      <c r="K48" s="65" t="n">
        <f aca="false">K14*Assumptions!$D$81*IF(Assumptions!K$191=2027,1+Assumptions!$F$175,1)/12</f>
        <v>10750</v>
      </c>
      <c r="L48" s="65" t="n">
        <f aca="false">L14*Assumptions!$D$81*IF(Assumptions!L$191=2027,1+Assumptions!$F$175,1)/12</f>
        <v>10750</v>
      </c>
      <c r="M48" s="65" t="n">
        <f aca="false">M14*Assumptions!$D$81*IF(Assumptions!M$191=2027,1+Assumptions!$F$175,1)/12</f>
        <v>10660.4166666667</v>
      </c>
      <c r="N48" s="65" t="n">
        <f aca="false">N14*Assumptions!$D$81*IF(Assumptions!N$191=2027,1+Assumptions!$F$175,1)/12</f>
        <v>10571.5798611111</v>
      </c>
      <c r="O48" s="65" t="n">
        <f aca="false">O14*Assumptions!$D$81*IF(Assumptions!O$191=2027,1+Assumptions!$F$175,1)/12</f>
        <v>10573.0666956019</v>
      </c>
      <c r="P48" s="65" t="n">
        <f aca="false">P14*Assumptions!$D$81*IF(Assumptions!P$191=2027,1+Assumptions!$F$175,1)/12</f>
        <v>10573.7946120274</v>
      </c>
      <c r="Q48" s="65" t="n">
        <f aca="false">Q14*Assumptions!$D$81*IF(Assumptions!Q$191=2027,1+Assumptions!$F$175,1)/12</f>
        <v>10943.8583212217</v>
      </c>
      <c r="R48" s="65" t="n">
        <f aca="false">R14*Assumptions!$D$81*IF(Assumptions!R$191=2027,1+Assumptions!$F$175,1)/12</f>
        <v>10943.8522021277</v>
      </c>
      <c r="S48" s="65" t="n">
        <f aca="false">S14*Assumptions!$D$81*IF(Assumptions!S$191=2027,1+Assumptions!$F$175,1)/12</f>
        <v>10943.8524123054</v>
      </c>
      <c r="T48" s="65" t="n">
        <f aca="false">T14*Assumptions!$D$81*IF(Assumptions!T$191=2027,1+Assumptions!$F$175,1)/12</f>
        <v>10943.8524615464</v>
      </c>
      <c r="U48" s="65" t="n">
        <f aca="false">U14*Assumptions!$D$81*IF(Assumptions!U$191=2027,1+Assumptions!$F$175,1)/12</f>
        <v>10943.8524593846</v>
      </c>
      <c r="V48" s="65" t="n">
        <f aca="false">V14*Assumptions!$D$81*IF(Assumptions!V$191=2027,1+Assumptions!$F$175,1)/12</f>
        <v>10943.8524589922</v>
      </c>
      <c r="W48" s="65" t="n">
        <f aca="false">W14*Assumptions!$D$81*IF(Assumptions!W$191=2027,1+Assumptions!$F$175,1)/12</f>
        <v>10943.8524590135</v>
      </c>
      <c r="X48" s="65" t="n">
        <f aca="false">X14*Assumptions!$D$81*IF(Assumptions!X$191=2027,1+Assumptions!$F$175,1)/12</f>
        <v>10943.8524590166</v>
      </c>
      <c r="Y48" s="65" t="n">
        <f aca="false">Y14*Assumptions!$D$81*IF(Assumptions!Y$191=2027,1+Assumptions!$F$175,1)/12</f>
        <v>10943.8524590164</v>
      </c>
      <c r="Z48" s="65" t="n">
        <f aca="false">Z14*Assumptions!$D$81*IF(Assumptions!Z$191=2027,1+Assumptions!$F$175,1)/12</f>
        <v>10943.8524590164</v>
      </c>
      <c r="AA48" s="65" t="n">
        <f aca="false">AA14*Assumptions!$D$81*IF(Assumptions!AA$191=2027,1+Assumptions!$F$175,1)/12</f>
        <v>10943.8524590164</v>
      </c>
      <c r="AB48" s="65" t="n">
        <f aca="false">AB14*Assumptions!$D$81*IF(Assumptions!AB$191=2027,1+Assumptions!$F$175,1)/12</f>
        <v>10943.8524590164</v>
      </c>
    </row>
    <row r="49" customFormat="false" ht="15" hidden="false" customHeight="false" outlineLevel="0" collapsed="false">
      <c r="A49" s="28" t="s">
        <v>1097</v>
      </c>
      <c r="B49" s="63" t="s">
        <v>1091</v>
      </c>
      <c r="C49" s="64" t="n">
        <f aca="false">SUM(E49:P49)</f>
        <v>220186.689588759</v>
      </c>
      <c r="D49" s="64" t="n">
        <f aca="false">SUM(Q49:AB49)</f>
        <v>237107.850276794</v>
      </c>
      <c r="E49" s="65" t="n">
        <f aca="false">E15*Assumptions!$D$82*IF(Assumptions!E$191=2027,1+Assumptions!$F$175,1)/12</f>
        <v>18000</v>
      </c>
      <c r="F49" s="65" t="n">
        <f aca="false">F15*Assumptions!$D$82*IF(Assumptions!F$191=2027,1+Assumptions!$F$175,1)/12</f>
        <v>18000</v>
      </c>
      <c r="G49" s="65" t="n">
        <f aca="false">G15*Assumptions!$D$82*IF(Assumptions!G$191=2027,1+Assumptions!$F$175,1)/12</f>
        <v>18000</v>
      </c>
      <c r="H49" s="65" t="n">
        <f aca="false">H15*Assumptions!$D$82*IF(Assumptions!H$191=2027,1+Assumptions!$F$175,1)/12</f>
        <v>18000</v>
      </c>
      <c r="I49" s="65" t="n">
        <f aca="false">I15*Assumptions!$D$82*IF(Assumptions!I$191=2027,1+Assumptions!$F$175,1)/12</f>
        <v>20250</v>
      </c>
      <c r="J49" s="65" t="n">
        <f aca="false">J15*Assumptions!$D$82*IF(Assumptions!J$191=2027,1+Assumptions!$F$175,1)/12</f>
        <v>20250</v>
      </c>
      <c r="K49" s="65" t="n">
        <f aca="false">K15*Assumptions!$D$82*IF(Assumptions!K$191=2027,1+Assumptions!$F$175,1)/12</f>
        <v>20250</v>
      </c>
      <c r="L49" s="65" t="n">
        <f aca="false">L15*Assumptions!$D$82*IF(Assumptions!L$191=2027,1+Assumptions!$F$175,1)/12</f>
        <v>18000</v>
      </c>
      <c r="M49" s="65" t="n">
        <f aca="false">M15*Assumptions!$D$82*IF(Assumptions!M$191=2027,1+Assumptions!$F$175,1)/12</f>
        <v>17625</v>
      </c>
      <c r="N49" s="65" t="n">
        <f aca="false">N15*Assumptions!$D$82*IF(Assumptions!N$191=2027,1+Assumptions!$F$175,1)/12</f>
        <v>17257.8125</v>
      </c>
      <c r="O49" s="65" t="n">
        <f aca="false">O15*Assumptions!$D$82*IF(Assumptions!O$191=2027,1+Assumptions!$F$175,1)/12</f>
        <v>17273.2747395833</v>
      </c>
      <c r="P49" s="65" t="n">
        <f aca="false">P15*Assumptions!$D$82*IF(Assumptions!P$191=2027,1+Assumptions!$F$175,1)/12</f>
        <v>17280.6023491753</v>
      </c>
      <c r="Q49" s="65" t="n">
        <f aca="false">Q15*Assumptions!$D$82*IF(Assumptions!Q$191=2027,1+Assumptions!$F$175,1)/12</f>
        <v>17884.9320252736</v>
      </c>
      <c r="R49" s="65" t="n">
        <f aca="false">R15*Assumptions!$D$82*IF(Assumptions!R$191=2027,1+Assumptions!$F$175,1)/12</f>
        <v>17884.7842613194</v>
      </c>
      <c r="S49" s="65" t="n">
        <f aca="false">S15*Assumptions!$D$82*IF(Assumptions!S$191=2027,1+Assumptions!$F$175,1)/12</f>
        <v>20213.5475773626</v>
      </c>
      <c r="T49" s="65" t="n">
        <f aca="false">T15*Assumptions!$D$82*IF(Assumptions!T$191=2027,1+Assumptions!$F$175,1)/12</f>
        <v>20165.0347533608</v>
      </c>
      <c r="U49" s="65" t="n">
        <f aca="false">U15*Assumptions!$D$82*IF(Assumptions!U$191=2027,1+Assumptions!$F$175,1)/12</f>
        <v>20117.5295347766</v>
      </c>
      <c r="V49" s="65" t="n">
        <f aca="false">V15*Assumptions!$D$82*IF(Assumptions!V$191=2027,1+Assumptions!$F$175,1)/12</f>
        <v>20119.5299106638</v>
      </c>
      <c r="W49" s="65" t="n">
        <f aca="false">W15*Assumptions!$D$82*IF(Assumptions!W$191=2027,1+Assumptions!$F$175,1)/12</f>
        <v>20120.47792822</v>
      </c>
      <c r="X49" s="65" t="n">
        <f aca="false">X15*Assumptions!$D$82*IF(Assumptions!X$191=2027,1+Assumptions!$F$175,1)/12</f>
        <v>20120.4165033566</v>
      </c>
      <c r="Y49" s="65" t="n">
        <f aca="false">Y15*Assumptions!$D$82*IF(Assumptions!Y$191=2027,1+Assumptions!$F$175,1)/12</f>
        <v>20120.3980326755</v>
      </c>
      <c r="Z49" s="65" t="n">
        <f aca="false">Z15*Assumptions!$D$82*IF(Assumptions!Z$191=2027,1+Assumptions!$F$175,1)/12</f>
        <v>20120.399697166</v>
      </c>
      <c r="AA49" s="65" t="n">
        <f aca="false">AA15*Assumptions!$D$82*IF(Assumptions!AA$191=2027,1+Assumptions!$F$175,1)/12</f>
        <v>20120.400047295</v>
      </c>
      <c r="AB49" s="65" t="n">
        <f aca="false">AB15*Assumptions!$D$82*IF(Assumptions!AB$191=2027,1+Assumptions!$F$175,1)/12</f>
        <v>20120.4000053237</v>
      </c>
    </row>
    <row r="50" customFormat="false" ht="15" hidden="false" customHeight="false" outlineLevel="0" collapsed="false">
      <c r="A50" s="28" t="s">
        <v>1098</v>
      </c>
      <c r="B50" s="63" t="s">
        <v>1091</v>
      </c>
      <c r="C50" s="64" t="n">
        <f aca="false">SUM(E50:P50)</f>
        <v>211154.194787598</v>
      </c>
      <c r="D50" s="64" t="n">
        <f aca="false">SUM(Q50:AB50)</f>
        <v>255413.93531342</v>
      </c>
      <c r="E50" s="65" t="n">
        <f aca="false">E16*Assumptions!$D$83*IF(Assumptions!E$191=2027,1+Assumptions!$F$175,1)/12</f>
        <v>15416.6666666667</v>
      </c>
      <c r="F50" s="65" t="n">
        <f aca="false">F16*Assumptions!$D$83*IF(Assumptions!F$191=2027,1+Assumptions!$F$175,1)/12</f>
        <v>15416.6666666667</v>
      </c>
      <c r="G50" s="65" t="n">
        <f aca="false">G16*Assumptions!$D$83*IF(Assumptions!G$191=2027,1+Assumptions!$F$175,1)/12</f>
        <v>15416.6666666667</v>
      </c>
      <c r="H50" s="65" t="n">
        <f aca="false">H16*Assumptions!$D$83*IF(Assumptions!H$191=2027,1+Assumptions!$F$175,1)/12</f>
        <v>18500</v>
      </c>
      <c r="I50" s="65" t="n">
        <f aca="false">I16*Assumptions!$D$83*IF(Assumptions!I$191=2027,1+Assumptions!$F$175,1)/12</f>
        <v>18500</v>
      </c>
      <c r="J50" s="65" t="n">
        <f aca="false">J16*Assumptions!$D$83*IF(Assumptions!J$191=2027,1+Assumptions!$F$175,1)/12</f>
        <v>18500</v>
      </c>
      <c r="K50" s="65" t="n">
        <f aca="false">K16*Assumptions!$D$83*IF(Assumptions!K$191=2027,1+Assumptions!$F$175,1)/12</f>
        <v>18500</v>
      </c>
      <c r="L50" s="65" t="n">
        <f aca="false">L16*Assumptions!$D$83*IF(Assumptions!L$191=2027,1+Assumptions!$F$175,1)/12</f>
        <v>18500</v>
      </c>
      <c r="M50" s="65" t="n">
        <f aca="false">M16*Assumptions!$D$83*IF(Assumptions!M$191=2027,1+Assumptions!$F$175,1)/12</f>
        <v>18268.75</v>
      </c>
      <c r="N50" s="65" t="n">
        <f aca="false">N16*Assumptions!$D$83*IF(Assumptions!N$191=2027,1+Assumptions!$F$175,1)/12</f>
        <v>18040.390625</v>
      </c>
      <c r="O50" s="65" t="n">
        <f aca="false">O16*Assumptions!$D$83*IF(Assumptions!O$191=2027,1+Assumptions!$F$175,1)/12</f>
        <v>18046.1357421875</v>
      </c>
      <c r="P50" s="65" t="n">
        <f aca="false">P16*Assumptions!$D$83*IF(Assumptions!P$191=2027,1+Assumptions!$F$175,1)/12</f>
        <v>18048.9184204102</v>
      </c>
      <c r="Q50" s="65" t="n">
        <f aca="false">Q16*Assumptions!$D$83*IF(Assumptions!Q$191=2027,1+Assumptions!$F$175,1)/12</f>
        <v>18680.5202367714</v>
      </c>
      <c r="R50" s="65" t="n">
        <f aca="false">R16*Assumptions!$D$83*IF(Assumptions!R$191=2027,1+Assumptions!$F$175,1)/12</f>
        <v>18680.4856149763</v>
      </c>
      <c r="S50" s="65" t="n">
        <f aca="false">S16*Assumptions!$D$83*IF(Assumptions!S$191=2027,1+Assumptions!$F$175,1)/12</f>
        <v>21871.7374268532</v>
      </c>
      <c r="T50" s="65" t="n">
        <f aca="false">T16*Assumptions!$D$83*IF(Assumptions!T$191=2027,1+Assumptions!$F$175,1)/12</f>
        <v>21831.8472119771</v>
      </c>
      <c r="U50" s="65" t="n">
        <f aca="false">U16*Assumptions!$D$83*IF(Assumptions!U$191=2027,1+Assumptions!$F$175,1)/12</f>
        <v>21792.4551920146</v>
      </c>
      <c r="V50" s="65" t="n">
        <f aca="false">V16*Assumptions!$D$83*IF(Assumptions!V$191=2027,1+Assumptions!$F$175,1)/12</f>
        <v>21793.4462199501</v>
      </c>
      <c r="W50" s="65" t="n">
        <f aca="false">W16*Assumptions!$D$83*IF(Assumptions!W$191=2027,1+Assumptions!$F$175,1)/12</f>
        <v>21793.9262323504</v>
      </c>
      <c r="X50" s="65" t="n">
        <f aca="false">X16*Assumptions!$D$83*IF(Assumptions!X$191=2027,1+Assumptions!$F$175,1)/12</f>
        <v>21793.9078443462</v>
      </c>
      <c r="Y50" s="65" t="n">
        <f aca="false">Y16*Assumptions!$D$83*IF(Assumptions!Y$191=2027,1+Assumptions!$F$175,1)/12</f>
        <v>21793.9020740413</v>
      </c>
      <c r="Z50" s="65" t="n">
        <f aca="false">Z16*Assumptions!$D$83*IF(Assumptions!Z$191=2027,1+Assumptions!$F$175,1)/12</f>
        <v>21793.9023760202</v>
      </c>
      <c r="AA50" s="65" t="n">
        <f aca="false">AA16*Assumptions!$D$83*IF(Assumptions!AA$191=2027,1+Assumptions!$F$175,1)/12</f>
        <v>21793.9024443742</v>
      </c>
      <c r="AB50" s="65" t="n">
        <f aca="false">AB16*Assumptions!$D$83*IF(Assumptions!AB$191=2027,1+Assumptions!$F$175,1)/12</f>
        <v>21793.9024397451</v>
      </c>
    </row>
    <row r="51" customFormat="false" ht="15" hidden="false" customHeight="false" outlineLevel="0" collapsed="false">
      <c r="A51" s="28" t="s">
        <v>1099</v>
      </c>
      <c r="B51" s="63" t="s">
        <v>1091</v>
      </c>
      <c r="C51" s="64" t="n">
        <f aca="false">SUM(E51:P51)</f>
        <v>243057.84230957</v>
      </c>
      <c r="D51" s="64" t="n">
        <f aca="false">SUM(Q51:AB51)</f>
        <v>325270.310180787</v>
      </c>
      <c r="E51" s="65" t="n">
        <f aca="false">E17*Assumptions!$D$84*IF(Assumptions!E$191=2027,1+Assumptions!$F$175,1)/12</f>
        <v>17500</v>
      </c>
      <c r="F51" s="65" t="n">
        <f aca="false">F17*Assumptions!$D$84*IF(Assumptions!F$191=2027,1+Assumptions!$F$175,1)/12</f>
        <v>17500</v>
      </c>
      <c r="G51" s="65" t="n">
        <f aca="false">G17*Assumptions!$D$84*IF(Assumptions!G$191=2027,1+Assumptions!$F$175,1)/12</f>
        <v>17500</v>
      </c>
      <c r="H51" s="65" t="n">
        <f aca="false">H17*Assumptions!$D$84*IF(Assumptions!H$191=2027,1+Assumptions!$F$175,1)/12</f>
        <v>17500</v>
      </c>
      <c r="I51" s="65" t="n">
        <f aca="false">I17*Assumptions!$D$84*IF(Assumptions!I$191=2027,1+Assumptions!$F$175,1)/12</f>
        <v>17500</v>
      </c>
      <c r="J51" s="65" t="n">
        <f aca="false">J17*Assumptions!$D$84*IF(Assumptions!J$191=2027,1+Assumptions!$F$175,1)/12</f>
        <v>21000</v>
      </c>
      <c r="K51" s="65" t="n">
        <f aca="false">K17*Assumptions!$D$84*IF(Assumptions!K$191=2027,1+Assumptions!$F$175,1)/12</f>
        <v>21000</v>
      </c>
      <c r="L51" s="65" t="n">
        <f aca="false">L17*Assumptions!$D$84*IF(Assumptions!L$191=2027,1+Assumptions!$F$175,1)/12</f>
        <v>21000</v>
      </c>
      <c r="M51" s="65" t="n">
        <f aca="false">M17*Assumptions!$D$84*IF(Assumptions!M$191=2027,1+Assumptions!$F$175,1)/12</f>
        <v>20737.5</v>
      </c>
      <c r="N51" s="65" t="n">
        <f aca="false">N17*Assumptions!$D$84*IF(Assumptions!N$191=2027,1+Assumptions!$F$175,1)/12</f>
        <v>23978.28125</v>
      </c>
      <c r="O51" s="65" t="n">
        <f aca="false">O17*Assumptions!$D$84*IF(Assumptions!O$191=2027,1+Assumptions!$F$175,1)/12</f>
        <v>23941.052734375</v>
      </c>
      <c r="P51" s="65" t="n">
        <f aca="false">P17*Assumptions!$D$84*IF(Assumptions!P$191=2027,1+Assumptions!$F$175,1)/12</f>
        <v>23901.0083251953</v>
      </c>
      <c r="Q51" s="65" t="n">
        <f aca="false">Q17*Assumptions!$D$84*IF(Assumptions!Q$191=2027,1+Assumptions!$F$175,1)/12</f>
        <v>24738.5433350418</v>
      </c>
      <c r="R51" s="65" t="n">
        <f aca="false">R17*Assumptions!$D$84*IF(Assumptions!R$191=2027,1+Assumptions!$F$175,1)/12</f>
        <v>24739.0489131048</v>
      </c>
      <c r="S51" s="65" t="n">
        <f aca="false">S17*Assumptions!$D$84*IF(Assumptions!S$191=2027,1+Assumptions!$F$175,1)/12</f>
        <v>24739.0300968982</v>
      </c>
      <c r="T51" s="65" t="n">
        <f aca="false">T17*Assumptions!$D$84*IF(Assumptions!T$191=2027,1+Assumptions!$F$175,1)/12</f>
        <v>24739.024012375</v>
      </c>
      <c r="U51" s="65" t="n">
        <f aca="false">U17*Assumptions!$D$84*IF(Assumptions!U$191=2027,1+Assumptions!$F$175,1)/12</f>
        <v>28361.5243236341</v>
      </c>
      <c r="V51" s="65" t="n">
        <f aca="false">V17*Assumptions!$D$84*IF(Assumptions!V$191=2027,1+Assumptions!$F$175,1)/12</f>
        <v>28316.2431457999</v>
      </c>
      <c r="W51" s="65" t="n">
        <f aca="false">W17*Assumptions!$D$84*IF(Assumptions!W$191=2027,1+Assumptions!$F$175,1)/12</f>
        <v>28271.5279066321</v>
      </c>
      <c r="X51" s="65" t="n">
        <f aca="false">X17*Assumptions!$D$84*IF(Assumptions!X$191=2027,1+Assumptions!$F$175,1)/12</f>
        <v>28272.6528618446</v>
      </c>
      <c r="Y51" s="65" t="n">
        <f aca="false">Y17*Assumptions!$D$84*IF(Assumptions!Y$191=2027,1+Assumptions!$F$175,1)/12</f>
        <v>28273.197740394</v>
      </c>
      <c r="Z51" s="65" t="n">
        <f aca="false">Z17*Assumptions!$D$84*IF(Assumptions!Z$191=2027,1+Assumptions!$F$175,1)/12</f>
        <v>28273.176867472</v>
      </c>
      <c r="AA51" s="65" t="n">
        <f aca="false">AA17*Assumptions!$D$84*IF(Assumptions!AA$191=2027,1+Assumptions!$F$175,1)/12</f>
        <v>28273.1703174017</v>
      </c>
      <c r="AB51" s="65" t="n">
        <f aca="false">AB17*Assumptions!$D$84*IF(Assumptions!AB$191=2027,1+Assumptions!$F$175,1)/12</f>
        <v>28273.1706601891</v>
      </c>
    </row>
    <row r="52" customFormat="false" ht="15" hidden="false" customHeight="false" outlineLevel="0" collapsed="false">
      <c r="A52" s="28" t="s">
        <v>1100</v>
      </c>
      <c r="B52" s="63" t="s">
        <v>1091</v>
      </c>
      <c r="C52" s="64" t="n">
        <f aca="false">SUM(E52:P52)</f>
        <v>90908.2196396565</v>
      </c>
      <c r="D52" s="64" t="n">
        <f aca="false">SUM(Q52:AB52)</f>
        <v>91411.2486729555</v>
      </c>
      <c r="E52" s="65" t="n">
        <f aca="false">E18*Assumptions!$D$85*IF(Assumptions!E$191=2027,1+Assumptions!$F$175,1)/12</f>
        <v>7666.66666666667</v>
      </c>
      <c r="F52" s="65" t="n">
        <f aca="false">F18*Assumptions!$D$85*IF(Assumptions!F$191=2027,1+Assumptions!$F$175,1)/12</f>
        <v>7666.66666666667</v>
      </c>
      <c r="G52" s="65" t="n">
        <f aca="false">G18*Assumptions!$D$85*IF(Assumptions!G$191=2027,1+Assumptions!$F$175,1)/12</f>
        <v>7666.66666666667</v>
      </c>
      <c r="H52" s="65" t="n">
        <f aca="false">H18*Assumptions!$D$85*IF(Assumptions!H$191=2027,1+Assumptions!$F$175,1)/12</f>
        <v>7666.66666666667</v>
      </c>
      <c r="I52" s="65" t="n">
        <f aca="false">I18*Assumptions!$D$85*IF(Assumptions!I$191=2027,1+Assumptions!$F$175,1)/12</f>
        <v>7666.66666666667</v>
      </c>
      <c r="J52" s="65" t="n">
        <f aca="false">J18*Assumptions!$D$85*IF(Assumptions!J$191=2027,1+Assumptions!$F$175,1)/12</f>
        <v>7666.66666666667</v>
      </c>
      <c r="K52" s="65" t="n">
        <f aca="false">K18*Assumptions!$D$85*IF(Assumptions!K$191=2027,1+Assumptions!$F$175,1)/12</f>
        <v>7666.66666666667</v>
      </c>
      <c r="L52" s="65" t="n">
        <f aca="false">L18*Assumptions!$D$85*IF(Assumptions!L$191=2027,1+Assumptions!$F$175,1)/12</f>
        <v>7666.66666666667</v>
      </c>
      <c r="M52" s="65" t="n">
        <f aca="false">M18*Assumptions!$D$85*IF(Assumptions!M$191=2027,1+Assumptions!$F$175,1)/12</f>
        <v>7506.94444444444</v>
      </c>
      <c r="N52" s="65" t="n">
        <f aca="false">N18*Assumptions!$D$85*IF(Assumptions!N$191=2027,1+Assumptions!$F$175,1)/12</f>
        <v>7350.54976851852</v>
      </c>
      <c r="O52" s="65" t="n">
        <f aca="false">O18*Assumptions!$D$85*IF(Assumptions!O$191=2027,1+Assumptions!$F$175,1)/12</f>
        <v>7357.13553722994</v>
      </c>
      <c r="P52" s="65" t="n">
        <f aca="false">P18*Assumptions!$D$85*IF(Assumptions!P$191=2027,1+Assumptions!$F$175,1)/12</f>
        <v>7360.25655613024</v>
      </c>
      <c r="Q52" s="65" t="n">
        <f aca="false">Q18*Assumptions!$D$85*IF(Assumptions!Q$191=2027,1+Assumptions!$F$175,1)/12</f>
        <v>7617.65623298692</v>
      </c>
      <c r="R52" s="65" t="n">
        <f aca="false">R18*Assumptions!$D$85*IF(Assumptions!R$191=2027,1+Assumptions!$F$175,1)/12</f>
        <v>7617.59329648788</v>
      </c>
      <c r="S52" s="65" t="n">
        <f aca="false">S18*Assumptions!$D$85*IF(Assumptions!S$191=2027,1+Assumptions!$F$175,1)/12</f>
        <v>7617.59896813594</v>
      </c>
      <c r="T52" s="65" t="n">
        <f aca="false">T18*Assumptions!$D$85*IF(Assumptions!T$191=2027,1+Assumptions!$F$175,1)/12</f>
        <v>7617.60016115367</v>
      </c>
      <c r="U52" s="65" t="n">
        <f aca="false">U18*Assumptions!$D$85*IF(Assumptions!U$191=2027,1+Assumptions!$F$175,1)/12</f>
        <v>7617.6000181398</v>
      </c>
      <c r="V52" s="65" t="n">
        <f aca="false">V18*Assumptions!$D$85*IF(Assumptions!V$191=2027,1+Assumptions!$F$175,1)/12</f>
        <v>7617.59999626472</v>
      </c>
      <c r="W52" s="65" t="n">
        <f aca="false">W18*Assumptions!$D$85*IF(Assumptions!W$191=2027,1+Assumptions!$F$175,1)/12</f>
        <v>7617.59999969991</v>
      </c>
      <c r="X52" s="65" t="n">
        <f aca="false">X18*Assumptions!$D$85*IF(Assumptions!X$191=2027,1+Assumptions!$F$175,1)/12</f>
        <v>7617.60000008407</v>
      </c>
      <c r="Y52" s="65" t="n">
        <f aca="false">Y18*Assumptions!$D$85*IF(Assumptions!Y$191=2027,1+Assumptions!$F$175,1)/12</f>
        <v>7617.6000000045</v>
      </c>
      <c r="Z52" s="65" t="n">
        <f aca="false">Z18*Assumptions!$D$85*IF(Assumptions!Z$191=2027,1+Assumptions!$F$175,1)/12</f>
        <v>7617.59999999815</v>
      </c>
      <c r="AA52" s="65" t="n">
        <f aca="false">AA18*Assumptions!$D$85*IF(Assumptions!AA$191=2027,1+Assumptions!$F$175,1)/12</f>
        <v>7617.59999999994</v>
      </c>
      <c r="AB52" s="65" t="n">
        <f aca="false">AB18*Assumptions!$D$85*IF(Assumptions!AB$191=2027,1+Assumptions!$F$175,1)/12</f>
        <v>7617.60000000004</v>
      </c>
    </row>
    <row r="53" customFormat="false" ht="15" hidden="false" customHeight="false" outlineLevel="0" collapsed="false">
      <c r="A53" s="28" t="s">
        <v>1101</v>
      </c>
      <c r="B53" s="63" t="s">
        <v>1091</v>
      </c>
      <c r="C53" s="64" t="n">
        <f aca="false">SUM(E53:P53)</f>
        <v>378149.690981265</v>
      </c>
      <c r="D53" s="64" t="n">
        <f aca="false">SUM(Q53:AB53)</f>
        <v>492273.229834307</v>
      </c>
      <c r="E53" s="65" t="n">
        <f aca="false">E19*Assumptions!$D$86*IF(Assumptions!E$191=2027,1+Assumptions!$F$175,1)/12</f>
        <v>30000</v>
      </c>
      <c r="F53" s="65" t="n">
        <f aca="false">F19*Assumptions!$D$86*IF(Assumptions!F$191=2027,1+Assumptions!$F$175,1)/12</f>
        <v>30000</v>
      </c>
      <c r="G53" s="65" t="n">
        <f aca="false">G19*Assumptions!$D$86*IF(Assumptions!G$191=2027,1+Assumptions!$F$175,1)/12</f>
        <v>30000</v>
      </c>
      <c r="H53" s="65" t="n">
        <f aca="false">H19*Assumptions!$D$86*IF(Assumptions!H$191=2027,1+Assumptions!$F$175,1)/12</f>
        <v>33750</v>
      </c>
      <c r="I53" s="65" t="n">
        <f aca="false">I19*Assumptions!$D$86*IF(Assumptions!I$191=2027,1+Assumptions!$F$175,1)/12</f>
        <v>33750</v>
      </c>
      <c r="J53" s="65" t="n">
        <f aca="false">J19*Assumptions!$D$86*IF(Assumptions!J$191=2027,1+Assumptions!$F$175,1)/12</f>
        <v>33750</v>
      </c>
      <c r="K53" s="65" t="n">
        <f aca="false">K19*Assumptions!$D$86*IF(Assumptions!K$191=2027,1+Assumptions!$F$175,1)/12</f>
        <v>33750</v>
      </c>
      <c r="L53" s="65" t="n">
        <f aca="false">L19*Assumptions!$D$86*IF(Assumptions!L$191=2027,1+Assumptions!$F$175,1)/12</f>
        <v>30000</v>
      </c>
      <c r="M53" s="65" t="n">
        <f aca="false">M19*Assumptions!$D$86*IF(Assumptions!M$191=2027,1+Assumptions!$F$175,1)/12</f>
        <v>29375</v>
      </c>
      <c r="N53" s="65" t="n">
        <f aca="false">N19*Assumptions!$D$86*IF(Assumptions!N$191=2027,1+Assumptions!$F$175,1)/12</f>
        <v>28763.0208333333</v>
      </c>
      <c r="O53" s="65" t="n">
        <f aca="false">O19*Assumptions!$D$86*IF(Assumptions!O$191=2027,1+Assumptions!$F$175,1)/12</f>
        <v>32538.7912326389</v>
      </c>
      <c r="P53" s="65" t="n">
        <f aca="false">P19*Assumptions!$D$86*IF(Assumptions!P$191=2027,1+Assumptions!$F$175,1)/12</f>
        <v>32472.8789152922</v>
      </c>
      <c r="Q53" s="65" t="n">
        <f aca="false">Q19*Assumptions!$D$86*IF(Assumptions!Q$191=2027,1+Assumptions!$F$175,1)/12</f>
        <v>41291.9358624352</v>
      </c>
      <c r="R53" s="65" t="n">
        <f aca="false">R19*Assumptions!$D$86*IF(Assumptions!R$191=2027,1+Assumptions!$F$175,1)/12</f>
        <v>41133.3048845883</v>
      </c>
      <c r="S53" s="65" t="n">
        <f aca="false">S19*Assumptions!$D$86*IF(Assumptions!S$191=2027,1+Assumptions!$F$175,1)/12</f>
        <v>40976.557484437</v>
      </c>
      <c r="T53" s="65" t="n">
        <f aca="false">T19*Assumptions!$D$86*IF(Assumptions!T$191=2027,1+Assumptions!$F$175,1)/12</f>
        <v>40983.127867312</v>
      </c>
      <c r="U53" s="65" t="n">
        <f aca="false">U19*Assumptions!$D$86*IF(Assumptions!U$191=2027,1+Assumptions!$F$175,1)/12</f>
        <v>40986.2565551719</v>
      </c>
      <c r="V53" s="65" t="n">
        <f aca="false">V19*Assumptions!$D$86*IF(Assumptions!V$191=2027,1+Assumptions!$F$175,1)/12</f>
        <v>40986.0544911982</v>
      </c>
      <c r="W53" s="65" t="n">
        <f aca="false">W19*Assumptions!$D$86*IF(Assumptions!W$191=2027,1+Assumptions!$F$175,1)/12</f>
        <v>40985.9935198673</v>
      </c>
      <c r="X53" s="65" t="n">
        <f aca="false">X19*Assumptions!$D$86*IF(Assumptions!X$191=2027,1+Assumptions!$F$175,1)/12</f>
        <v>40985.9989997695</v>
      </c>
      <c r="Y53" s="65" t="n">
        <f aca="false">Y19*Assumptions!$D$86*IF(Assumptions!Y$191=2027,1+Assumptions!$F$175,1)/12</f>
        <v>40986.0001558409</v>
      </c>
      <c r="Z53" s="65" t="n">
        <f aca="false">Z19*Assumptions!$D$86*IF(Assumptions!Z$191=2027,1+Assumptions!$F$175,1)/12</f>
        <v>40986.0000175915</v>
      </c>
      <c r="AA53" s="65" t="n">
        <f aca="false">AA19*Assumptions!$D$86*IF(Assumptions!AA$191=2027,1+Assumptions!$F$175,1)/12</f>
        <v>40985.9999963868</v>
      </c>
      <c r="AB53" s="65" t="n">
        <f aca="false">AB19*Assumptions!$D$86*IF(Assumptions!AB$191=2027,1+Assumptions!$F$175,1)/12</f>
        <v>40985.9999997088</v>
      </c>
    </row>
    <row r="54" customFormat="false" ht="15" hidden="false" customHeight="false" outlineLevel="0" collapsed="false">
      <c r="A54" s="28" t="s">
        <v>1102</v>
      </c>
      <c r="B54" s="63" t="s">
        <v>1091</v>
      </c>
      <c r="C54" s="64" t="n">
        <f aca="false">SUM(E54:P54)</f>
        <v>161339.647457923</v>
      </c>
      <c r="D54" s="64" t="n">
        <f aca="false">SUM(Q54:AB54)</f>
        <v>185611.192827683</v>
      </c>
      <c r="E54" s="65" t="n">
        <f aca="false">E20*Assumptions!$D$87*IF(Assumptions!E$191=2027,1+Assumptions!$F$175,1)/12</f>
        <v>11666.6666666667</v>
      </c>
      <c r="F54" s="65" t="n">
        <f aca="false">F20*Assumptions!$D$87*IF(Assumptions!F$191=2027,1+Assumptions!$F$175,1)/12</f>
        <v>11666.6666666667</v>
      </c>
      <c r="G54" s="65" t="n">
        <f aca="false">G20*Assumptions!$D$87*IF(Assumptions!G$191=2027,1+Assumptions!$F$175,1)/12</f>
        <v>14000</v>
      </c>
      <c r="H54" s="65" t="n">
        <f aca="false">H20*Assumptions!$D$87*IF(Assumptions!H$191=2027,1+Assumptions!$F$175,1)/12</f>
        <v>14000</v>
      </c>
      <c r="I54" s="65" t="n">
        <f aca="false">I20*Assumptions!$D$87*IF(Assumptions!I$191=2027,1+Assumptions!$F$175,1)/12</f>
        <v>14000</v>
      </c>
      <c r="J54" s="65" t="n">
        <f aca="false">J20*Assumptions!$D$87*IF(Assumptions!J$191=2027,1+Assumptions!$F$175,1)/12</f>
        <v>14000</v>
      </c>
      <c r="K54" s="65" t="n">
        <f aca="false">K20*Assumptions!$D$87*IF(Assumptions!K$191=2027,1+Assumptions!$F$175,1)/12</f>
        <v>14000</v>
      </c>
      <c r="L54" s="65" t="n">
        <f aca="false">L20*Assumptions!$D$87*IF(Assumptions!L$191=2027,1+Assumptions!$F$175,1)/12</f>
        <v>14000</v>
      </c>
      <c r="M54" s="65" t="n">
        <f aca="false">M20*Assumptions!$D$87*IF(Assumptions!M$191=2027,1+Assumptions!$F$175,1)/12</f>
        <v>13708.3333333333</v>
      </c>
      <c r="N54" s="65" t="n">
        <f aca="false">N20*Assumptions!$D$87*IF(Assumptions!N$191=2027,1+Assumptions!$F$175,1)/12</f>
        <v>13422.7430555556</v>
      </c>
      <c r="O54" s="65" t="n">
        <f aca="false">O20*Assumptions!$D$87*IF(Assumptions!O$191=2027,1+Assumptions!$F$175,1)/12</f>
        <v>13434.7692418981</v>
      </c>
      <c r="P54" s="65" t="n">
        <f aca="false">P20*Assumptions!$D$87*IF(Assumptions!P$191=2027,1+Assumptions!$F$175,1)/12</f>
        <v>13440.468493803</v>
      </c>
      <c r="Q54" s="65" t="n">
        <f aca="false">Q20*Assumptions!$D$87*IF(Assumptions!Q$191=2027,1+Assumptions!$F$175,1)/12</f>
        <v>13910.5026863239</v>
      </c>
      <c r="R54" s="65" t="n">
        <f aca="false">R20*Assumptions!$D$87*IF(Assumptions!R$191=2027,1+Assumptions!$F$175,1)/12</f>
        <v>13910.387758804</v>
      </c>
      <c r="S54" s="65" t="n">
        <f aca="false">S20*Assumptions!$D$87*IF(Assumptions!S$191=2027,1+Assumptions!$F$175,1)/12</f>
        <v>13910.3981157265</v>
      </c>
      <c r="T54" s="65" t="n">
        <f aca="false">T20*Assumptions!$D$87*IF(Assumptions!T$191=2027,1+Assumptions!$F$175,1)/12</f>
        <v>13910.4002942806</v>
      </c>
      <c r="U54" s="65" t="n">
        <f aca="false">U20*Assumptions!$D$87*IF(Assumptions!U$191=2027,1+Assumptions!$F$175,1)/12</f>
        <v>16325.4000331248</v>
      </c>
      <c r="V54" s="65" t="n">
        <f aca="false">V20*Assumptions!$D$87*IF(Assumptions!V$191=2027,1+Assumptions!$F$175,1)/12</f>
        <v>16275.0874931791</v>
      </c>
      <c r="W54" s="65" t="n">
        <f aca="false">W20*Assumptions!$D$87*IF(Assumptions!W$191=2027,1+Assumptions!$F$175,1)/12</f>
        <v>16225.8231765353</v>
      </c>
      <c r="X54" s="65" t="n">
        <f aca="false">X20*Assumptions!$D$87*IF(Assumptions!X$191=2027,1+Assumptions!$F$175,1)/12</f>
        <v>16227.8976943809</v>
      </c>
      <c r="Y54" s="65" t="n">
        <f aca="false">Y20*Assumptions!$D$87*IF(Assumptions!Y$191=2027,1+Assumptions!$F$175,1)/12</f>
        <v>16228.8808151892</v>
      </c>
      <c r="Z54" s="65" t="n">
        <f aca="false">Z20*Assumptions!$D$87*IF(Assumptions!Z$191=2027,1+Assumptions!$F$175,1)/12</f>
        <v>16228.817114384</v>
      </c>
      <c r="AA54" s="65" t="n">
        <f aca="false">AA20*Assumptions!$D$87*IF(Assumptions!AA$191=2027,1+Assumptions!$F$175,1)/12</f>
        <v>16228.7979598006</v>
      </c>
      <c r="AB54" s="65" t="n">
        <f aca="false">AB20*Assumptions!$D$87*IF(Assumptions!AB$191=2027,1+Assumptions!$F$175,1)/12</f>
        <v>16228.7996859545</v>
      </c>
    </row>
    <row r="55" customFormat="false" ht="15" hidden="false" customHeight="false" outlineLevel="0" collapsed="false">
      <c r="A55" s="28" t="s">
        <v>1103</v>
      </c>
      <c r="B55" s="63" t="s">
        <v>1091</v>
      </c>
      <c r="C55" s="64" t="n">
        <f aca="false">SUM(E55:P55)</f>
        <v>315852.030277506</v>
      </c>
      <c r="D55" s="64" t="n">
        <f aca="false">SUM(Q55:AB55)</f>
        <v>371731.899406384</v>
      </c>
      <c r="E55" s="65" t="n">
        <f aca="false">E21*Assumptions!$D$88*IF(Assumptions!E$191=2027,1+Assumptions!$F$175,1)/12</f>
        <v>23000</v>
      </c>
      <c r="F55" s="65" t="n">
        <f aca="false">F21*Assumptions!$D$88*IF(Assumptions!F$191=2027,1+Assumptions!$F$175,1)/12</f>
        <v>26833.3333333333</v>
      </c>
      <c r="G55" s="65" t="n">
        <f aca="false">G21*Assumptions!$D$88*IF(Assumptions!G$191=2027,1+Assumptions!$F$175,1)/12</f>
        <v>26833.3333333333</v>
      </c>
      <c r="H55" s="65" t="n">
        <f aca="false">H21*Assumptions!$D$88*IF(Assumptions!H$191=2027,1+Assumptions!$F$175,1)/12</f>
        <v>26833.3333333333</v>
      </c>
      <c r="I55" s="65" t="n">
        <f aca="false">I21*Assumptions!$D$88*IF(Assumptions!I$191=2027,1+Assumptions!$F$175,1)/12</f>
        <v>26833.3333333333</v>
      </c>
      <c r="J55" s="65" t="n">
        <f aca="false">J21*Assumptions!$D$88*IF(Assumptions!J$191=2027,1+Assumptions!$F$175,1)/12</f>
        <v>26833.3333333333</v>
      </c>
      <c r="K55" s="65" t="n">
        <f aca="false">K21*Assumptions!$D$88*IF(Assumptions!K$191=2027,1+Assumptions!$F$175,1)/12</f>
        <v>26833.3333333333</v>
      </c>
      <c r="L55" s="65" t="n">
        <f aca="false">L21*Assumptions!$D$88*IF(Assumptions!L$191=2027,1+Assumptions!$F$175,1)/12</f>
        <v>26833.3333333333</v>
      </c>
      <c r="M55" s="65" t="n">
        <f aca="false">M21*Assumptions!$D$88*IF(Assumptions!M$191=2027,1+Assumptions!$F$175,1)/12</f>
        <v>26497.9166666667</v>
      </c>
      <c r="N55" s="65" t="n">
        <f aca="false">N21*Assumptions!$D$88*IF(Assumptions!N$191=2027,1+Assumptions!$F$175,1)/12</f>
        <v>26166.6927083333</v>
      </c>
      <c r="O55" s="65" t="n">
        <f aca="false">O21*Assumptions!$D$88*IF(Assumptions!O$191=2027,1+Assumptions!$F$175,1)/12</f>
        <v>26175.0257161458</v>
      </c>
      <c r="P55" s="65" t="n">
        <f aca="false">P21*Assumptions!$D$88*IF(Assumptions!P$191=2027,1+Assumptions!$F$175,1)/12</f>
        <v>26179.0618530273</v>
      </c>
      <c r="Q55" s="65" t="n">
        <f aca="false">Q21*Assumptions!$D$88*IF(Assumptions!Q$191=2027,1+Assumptions!$F$175,1)/12</f>
        <v>31062.6689920738</v>
      </c>
      <c r="R55" s="65" t="n">
        <f aca="false">R21*Assumptions!$D$88*IF(Assumptions!R$191=2027,1+Assumptions!$F$175,1)/12</f>
        <v>31013.0250248755</v>
      </c>
      <c r="S55" s="65" t="n">
        <f aca="false">S21*Assumptions!$D$88*IF(Assumptions!S$191=2027,1+Assumptions!$F$175,1)/12</f>
        <v>30964.0538247881</v>
      </c>
      <c r="T55" s="65" t="n">
        <f aca="false">T21*Assumptions!$D$88*IF(Assumptions!T$191=2027,1+Assumptions!$F$175,1)/12</f>
        <v>30965.2865143792</v>
      </c>
      <c r="U55" s="65" t="n">
        <f aca="false">U21*Assumptions!$D$88*IF(Assumptions!U$191=2027,1+Assumptions!$F$175,1)/12</f>
        <v>30965.8832457604</v>
      </c>
      <c r="V55" s="65" t="n">
        <f aca="false">V21*Assumptions!$D$88*IF(Assumptions!V$191=2027,1+Assumptions!$F$175,1)/12</f>
        <v>30965.8603779982</v>
      </c>
      <c r="W55" s="65" t="n">
        <f aca="false">W21*Assumptions!$D$88*IF(Assumptions!W$191=2027,1+Assumptions!$F$175,1)/12</f>
        <v>30965.853204703</v>
      </c>
      <c r="X55" s="65" t="n">
        <f aca="false">X21*Assumptions!$D$88*IF(Assumptions!X$191=2027,1+Assumptions!$F$175,1)/12</f>
        <v>30965.8535802162</v>
      </c>
      <c r="Y55" s="65" t="n">
        <f aca="false">Y21*Assumptions!$D$88*IF(Assumptions!Y$191=2027,1+Assumptions!$F$175,1)/12</f>
        <v>30965.8536651885</v>
      </c>
      <c r="Z55" s="65" t="n">
        <f aca="false">Z21*Assumptions!$D$88*IF(Assumptions!Z$191=2027,1+Assumptions!$F$175,1)/12</f>
        <v>30965.8536594324</v>
      </c>
      <c r="AA55" s="65" t="n">
        <f aca="false">AA21*Assumptions!$D$88*IF(Assumptions!AA$191=2027,1+Assumptions!$F$175,1)/12</f>
        <v>30965.8536584422</v>
      </c>
      <c r="AB55" s="65" t="n">
        <f aca="false">AB21*Assumptions!$D$88*IF(Assumptions!AB$191=2027,1+Assumptions!$F$175,1)/12</f>
        <v>30965.8536585266</v>
      </c>
    </row>
    <row r="56" customFormat="false" ht="15" hidden="false" customHeight="false" outlineLevel="0" collapsed="false">
      <c r="A56" s="28" t="s">
        <v>1104</v>
      </c>
      <c r="B56" s="63" t="s">
        <v>1091</v>
      </c>
      <c r="C56" s="64" t="n">
        <f aca="false">SUM(E56:P56)</f>
        <v>209189.529664198</v>
      </c>
      <c r="D56" s="64" t="n">
        <f aca="false">SUM(Q56:AB56)</f>
        <v>214490.136356074</v>
      </c>
      <c r="E56" s="65" t="n">
        <f aca="false">E22*Assumptions!$D$89*IF(Assumptions!E$191=2027,1+Assumptions!$F$175,1)/12</f>
        <v>17500</v>
      </c>
      <c r="F56" s="65" t="n">
        <f aca="false">F22*Assumptions!$D$89*IF(Assumptions!F$191=2027,1+Assumptions!$F$175,1)/12</f>
        <v>17500</v>
      </c>
      <c r="G56" s="65" t="n">
        <f aca="false">G22*Assumptions!$D$89*IF(Assumptions!G$191=2027,1+Assumptions!$F$175,1)/12</f>
        <v>17500</v>
      </c>
      <c r="H56" s="65" t="n">
        <f aca="false">H22*Assumptions!$D$89*IF(Assumptions!H$191=2027,1+Assumptions!$F$175,1)/12</f>
        <v>17500</v>
      </c>
      <c r="I56" s="65" t="n">
        <f aca="false">I22*Assumptions!$D$89*IF(Assumptions!I$191=2027,1+Assumptions!$F$175,1)/12</f>
        <v>17500</v>
      </c>
      <c r="J56" s="65" t="n">
        <f aca="false">J22*Assumptions!$D$89*IF(Assumptions!J$191=2027,1+Assumptions!$F$175,1)/12</f>
        <v>17500</v>
      </c>
      <c r="K56" s="65" t="n">
        <f aca="false">K22*Assumptions!$D$89*IF(Assumptions!K$191=2027,1+Assumptions!$F$175,1)/12</f>
        <v>17500</v>
      </c>
      <c r="L56" s="65" t="n">
        <f aca="false">L22*Assumptions!$D$89*IF(Assumptions!L$191=2027,1+Assumptions!$F$175,1)/12</f>
        <v>17500</v>
      </c>
      <c r="M56" s="65" t="n">
        <f aca="false">M22*Assumptions!$D$89*IF(Assumptions!M$191=2027,1+Assumptions!$F$175,1)/12</f>
        <v>17383.3333333333</v>
      </c>
      <c r="N56" s="65" t="n">
        <f aca="false">N22*Assumptions!$D$89*IF(Assumptions!N$191=2027,1+Assumptions!$F$175,1)/12</f>
        <v>17267.4444444444</v>
      </c>
      <c r="O56" s="65" t="n">
        <f aca="false">O22*Assumptions!$D$89*IF(Assumptions!O$191=2027,1+Assumptions!$F$175,1)/12</f>
        <v>17268.9948148148</v>
      </c>
      <c r="P56" s="65" t="n">
        <f aca="false">P22*Assumptions!$D$89*IF(Assumptions!P$191=2027,1+Assumptions!$F$175,1)/12</f>
        <v>17269.7570716049</v>
      </c>
      <c r="Q56" s="65" t="n">
        <f aca="false">Q22*Assumptions!$D$89*IF(Assumptions!Q$191=2027,1+Assumptions!$F$175,1)/12</f>
        <v>17874.1826119837</v>
      </c>
      <c r="R56" s="65" t="n">
        <f aca="false">R22*Assumptions!$D$89*IF(Assumptions!R$191=2027,1+Assumptions!$F$175,1)/12</f>
        <v>17874.1774587927</v>
      </c>
      <c r="S56" s="65" t="n">
        <f aca="false">S22*Assumptions!$D$89*IF(Assumptions!S$191=2027,1+Assumptions!$F$175,1)/12</f>
        <v>17874.1775995282</v>
      </c>
      <c r="T56" s="65" t="n">
        <f aca="false">T22*Assumptions!$D$89*IF(Assumptions!T$191=2027,1+Assumptions!$F$175,1)/12</f>
        <v>17874.1776329445</v>
      </c>
      <c r="U56" s="65" t="n">
        <f aca="false">U22*Assumptions!$D$89*IF(Assumptions!U$191=2027,1+Assumptions!$F$175,1)/12</f>
        <v>17874.1776317835</v>
      </c>
      <c r="V56" s="65" t="n">
        <f aca="false">V22*Assumptions!$D$89*IF(Assumptions!V$191=2027,1+Assumptions!$F$175,1)/12</f>
        <v>17874.1776315685</v>
      </c>
      <c r="W56" s="65" t="n">
        <f aca="false">W22*Assumptions!$D$89*IF(Assumptions!W$191=2027,1+Assumptions!$F$175,1)/12</f>
        <v>17874.1776315776</v>
      </c>
      <c r="X56" s="65" t="n">
        <f aca="false">X22*Assumptions!$D$89*IF(Assumptions!X$191=2027,1+Assumptions!$F$175,1)/12</f>
        <v>17874.177631579</v>
      </c>
      <c r="Y56" s="65" t="n">
        <f aca="false">Y22*Assumptions!$D$89*IF(Assumptions!Y$191=2027,1+Assumptions!$F$175,1)/12</f>
        <v>17874.177631579</v>
      </c>
      <c r="Z56" s="65" t="n">
        <f aca="false">Z22*Assumptions!$D$89*IF(Assumptions!Z$191=2027,1+Assumptions!$F$175,1)/12</f>
        <v>17874.1776315789</v>
      </c>
      <c r="AA56" s="65" t="n">
        <f aca="false">AA22*Assumptions!$D$89*IF(Assumptions!AA$191=2027,1+Assumptions!$F$175,1)/12</f>
        <v>17874.1776315789</v>
      </c>
      <c r="AB56" s="65" t="n">
        <f aca="false">AB22*Assumptions!$D$89*IF(Assumptions!AB$191=2027,1+Assumptions!$F$175,1)/12</f>
        <v>17874.1776315789</v>
      </c>
    </row>
    <row r="57" customFormat="false" ht="15" hidden="false" customHeight="false" outlineLevel="0" collapsed="false">
      <c r="A57" s="28" t="s">
        <v>1105</v>
      </c>
      <c r="B57" s="63" t="s">
        <v>1091</v>
      </c>
      <c r="C57" s="64" t="n">
        <f aca="false">SUM(E57:P57)</f>
        <v>184286.014227984</v>
      </c>
      <c r="D57" s="64" t="n">
        <f aca="false">SUM(Q57:AB57)</f>
        <v>188955.596313684</v>
      </c>
      <c r="E57" s="65" t="n">
        <f aca="false">E23*Assumptions!$D$90*IF(Assumptions!E$191=2027,1+Assumptions!$F$175,1)/12</f>
        <v>15416.6666666667</v>
      </c>
      <c r="F57" s="65" t="n">
        <f aca="false">F23*Assumptions!$D$90*IF(Assumptions!F$191=2027,1+Assumptions!$F$175,1)/12</f>
        <v>15416.6666666667</v>
      </c>
      <c r="G57" s="65" t="n">
        <f aca="false">G23*Assumptions!$D$90*IF(Assumptions!G$191=2027,1+Assumptions!$F$175,1)/12</f>
        <v>15416.6666666667</v>
      </c>
      <c r="H57" s="65" t="n">
        <f aca="false">H23*Assumptions!$D$90*IF(Assumptions!H$191=2027,1+Assumptions!$F$175,1)/12</f>
        <v>15416.6666666667</v>
      </c>
      <c r="I57" s="65" t="n">
        <f aca="false">I23*Assumptions!$D$90*IF(Assumptions!I$191=2027,1+Assumptions!$F$175,1)/12</f>
        <v>15416.6666666667</v>
      </c>
      <c r="J57" s="65" t="n">
        <f aca="false">J23*Assumptions!$D$90*IF(Assumptions!J$191=2027,1+Assumptions!$F$175,1)/12</f>
        <v>15416.6666666667</v>
      </c>
      <c r="K57" s="65" t="n">
        <f aca="false">K23*Assumptions!$D$90*IF(Assumptions!K$191=2027,1+Assumptions!$F$175,1)/12</f>
        <v>15416.6666666667</v>
      </c>
      <c r="L57" s="65" t="n">
        <f aca="false">L23*Assumptions!$D$90*IF(Assumptions!L$191=2027,1+Assumptions!$F$175,1)/12</f>
        <v>15416.6666666667</v>
      </c>
      <c r="M57" s="65" t="n">
        <f aca="false">M23*Assumptions!$D$90*IF(Assumptions!M$191=2027,1+Assumptions!$F$175,1)/12</f>
        <v>15313.8888888889</v>
      </c>
      <c r="N57" s="65" t="n">
        <f aca="false">N23*Assumptions!$D$90*IF(Assumptions!N$191=2027,1+Assumptions!$F$175,1)/12</f>
        <v>15211.7962962963</v>
      </c>
      <c r="O57" s="65" t="n">
        <f aca="false">O23*Assumptions!$D$90*IF(Assumptions!O$191=2027,1+Assumptions!$F$175,1)/12</f>
        <v>15213.1620987654</v>
      </c>
      <c r="P57" s="65" t="n">
        <f aca="false">P23*Assumptions!$D$90*IF(Assumptions!P$191=2027,1+Assumptions!$F$175,1)/12</f>
        <v>15213.8336106996</v>
      </c>
      <c r="Q57" s="65" t="n">
        <f aca="false">Q23*Assumptions!$D$90*IF(Assumptions!Q$191=2027,1+Assumptions!$F$175,1)/12</f>
        <v>15746.3037296047</v>
      </c>
      <c r="R57" s="65" t="n">
        <f aca="false">R23*Assumptions!$D$90*IF(Assumptions!R$191=2027,1+Assumptions!$F$175,1)/12</f>
        <v>15746.2991898888</v>
      </c>
      <c r="S57" s="65" t="n">
        <f aca="false">S23*Assumptions!$D$90*IF(Assumptions!S$191=2027,1+Assumptions!$F$175,1)/12</f>
        <v>15746.29931387</v>
      </c>
      <c r="T57" s="65" t="n">
        <f aca="false">T23*Assumptions!$D$90*IF(Assumptions!T$191=2027,1+Assumptions!$F$175,1)/12</f>
        <v>15746.2993433083</v>
      </c>
      <c r="U57" s="65" t="n">
        <f aca="false">U23*Assumptions!$D$90*IF(Assumptions!U$191=2027,1+Assumptions!$F$175,1)/12</f>
        <v>15746.2993422855</v>
      </c>
      <c r="V57" s="65" t="n">
        <f aca="false">V23*Assumptions!$D$90*IF(Assumptions!V$191=2027,1+Assumptions!$F$175,1)/12</f>
        <v>15746.299342096</v>
      </c>
      <c r="W57" s="65" t="n">
        <f aca="false">W23*Assumptions!$D$90*IF(Assumptions!W$191=2027,1+Assumptions!$F$175,1)/12</f>
        <v>15746.2993421041</v>
      </c>
      <c r="X57" s="65" t="n">
        <f aca="false">X23*Assumptions!$D$90*IF(Assumptions!X$191=2027,1+Assumptions!$F$175,1)/12</f>
        <v>15746.2993421053</v>
      </c>
      <c r="Y57" s="65" t="n">
        <f aca="false">Y23*Assumptions!$D$90*IF(Assumptions!Y$191=2027,1+Assumptions!$F$175,1)/12</f>
        <v>15746.2993421053</v>
      </c>
      <c r="Z57" s="65" t="n">
        <f aca="false">Z23*Assumptions!$D$90*IF(Assumptions!Z$191=2027,1+Assumptions!$F$175,1)/12</f>
        <v>15746.2993421053</v>
      </c>
      <c r="AA57" s="65" t="n">
        <f aca="false">AA23*Assumptions!$D$90*IF(Assumptions!AA$191=2027,1+Assumptions!$F$175,1)/12</f>
        <v>15746.2993421053</v>
      </c>
      <c r="AB57" s="65" t="n">
        <f aca="false">AB23*Assumptions!$D$90*IF(Assumptions!AB$191=2027,1+Assumptions!$F$175,1)/12</f>
        <v>15746.2993421053</v>
      </c>
    </row>
    <row r="58" customFormat="false" ht="15" hidden="false" customHeight="false" outlineLevel="0" collapsed="false">
      <c r="A58" s="28" t="s">
        <v>1106</v>
      </c>
      <c r="B58" s="63" t="s">
        <v>1107</v>
      </c>
      <c r="C58" s="64" t="n">
        <f aca="false">SUM(E58:P58)</f>
        <v>59579.1173288065</v>
      </c>
      <c r="D58" s="64" t="n">
        <f aca="false">SUM(Q58:AB58)</f>
        <v>61247.4484790055</v>
      </c>
      <c r="E58" s="65" t="n">
        <f aca="false">E9*(MIN(Assumptions!$D$76*IF(Assumptions!E$191=2027,1+Assumptions!$F$175,1)/12,Assumptions!E$202)*Assumptions!E$203+(Assumptions!E$205*MAX(0,MIN(Assumptions!$D$76*IF(Assumptions!E$191=2027,1+Assumptions!$F$175,1)/12,1.1*Assumptions!E$202)-Assumptions!E$202)+Assumptions!E$207*MAX(0,MIN(Assumptions!$D$76*IF(Assumptions!E$191=2027,1+Assumptions!$F$175,1)/12,1.5*Assumptions!E$202)-1.1*Assumptions!E$202)+Assumptions!E$209*MAX(0,Assumptions!$D$76*IF(Assumptions!E$191=2027,1+Assumptions!$F$175,1)/12-1.5*Assumptions!E$202)))</f>
        <v>4993.725672</v>
      </c>
      <c r="F58" s="65" t="n">
        <f aca="false">F9*(MIN(Assumptions!$D$76*IF(Assumptions!F$191=2027,1+Assumptions!$F$175,1)/12,Assumptions!F$202)*Assumptions!F$203+(Assumptions!F$205*MAX(0,MIN(Assumptions!$D$76*IF(Assumptions!F$191=2027,1+Assumptions!$F$175,1)/12,1.1*Assumptions!F$202)-Assumptions!F$202)+Assumptions!F$207*MAX(0,MIN(Assumptions!$D$76*IF(Assumptions!F$191=2027,1+Assumptions!$F$175,1)/12,1.5*Assumptions!F$202)-1.1*Assumptions!F$202)+Assumptions!F$209*MAX(0,Assumptions!$D$76*IF(Assumptions!F$191=2027,1+Assumptions!$F$175,1)/12-1.5*Assumptions!F$202)))</f>
        <v>4993.725672</v>
      </c>
      <c r="G58" s="65" t="n">
        <f aca="false">G9*(MIN(Assumptions!$D$76*IF(Assumptions!G$191=2027,1+Assumptions!$F$175,1)/12,Assumptions!G$202)*Assumptions!G$203+(Assumptions!G$205*MAX(0,MIN(Assumptions!$D$76*IF(Assumptions!G$191=2027,1+Assumptions!$F$175,1)/12,1.1*Assumptions!G$202)-Assumptions!G$202)+Assumptions!G$207*MAX(0,MIN(Assumptions!$D$76*IF(Assumptions!G$191=2027,1+Assumptions!$F$175,1)/12,1.5*Assumptions!G$202)-1.1*Assumptions!G$202)+Assumptions!G$209*MAX(0,Assumptions!$D$76*IF(Assumptions!G$191=2027,1+Assumptions!$F$175,1)/12-1.5*Assumptions!G$202)))</f>
        <v>4993.725672</v>
      </c>
      <c r="H58" s="65" t="n">
        <f aca="false">H9*(MIN(Assumptions!$D$76*IF(Assumptions!H$191=2027,1+Assumptions!$F$175,1)/12,Assumptions!H$202)*Assumptions!H$203+(Assumptions!H$205*MAX(0,MIN(Assumptions!$D$76*IF(Assumptions!H$191=2027,1+Assumptions!$F$175,1)/12,1.1*Assumptions!H$202)-Assumptions!H$202)+Assumptions!H$207*MAX(0,MIN(Assumptions!$D$76*IF(Assumptions!H$191=2027,1+Assumptions!$F$175,1)/12,1.5*Assumptions!H$202)-1.1*Assumptions!H$202)+Assumptions!H$209*MAX(0,Assumptions!$D$76*IF(Assumptions!H$191=2027,1+Assumptions!$F$175,1)/12-1.5*Assumptions!H$202)))</f>
        <v>4993.725672</v>
      </c>
      <c r="I58" s="65" t="n">
        <f aca="false">I9*(MIN(Assumptions!$D$76*IF(Assumptions!I$191=2027,1+Assumptions!$F$175,1)/12,Assumptions!I$202)*Assumptions!I$203+(Assumptions!I$205*MAX(0,MIN(Assumptions!$D$76*IF(Assumptions!I$191=2027,1+Assumptions!$F$175,1)/12,1.1*Assumptions!I$202)-Assumptions!I$202)+Assumptions!I$207*MAX(0,MIN(Assumptions!$D$76*IF(Assumptions!I$191=2027,1+Assumptions!$F$175,1)/12,1.5*Assumptions!I$202)-1.1*Assumptions!I$202)+Assumptions!I$209*MAX(0,Assumptions!$D$76*IF(Assumptions!I$191=2027,1+Assumptions!$F$175,1)/12-1.5*Assumptions!I$202)))</f>
        <v>4993.725672</v>
      </c>
      <c r="J58" s="65" t="n">
        <f aca="false">J9*(MIN(Assumptions!$D$76*IF(Assumptions!J$191=2027,1+Assumptions!$F$175,1)/12,Assumptions!J$202)*Assumptions!J$203+(Assumptions!J$205*MAX(0,MIN(Assumptions!$D$76*IF(Assumptions!J$191=2027,1+Assumptions!$F$175,1)/12,1.1*Assumptions!J$202)-Assumptions!J$202)+Assumptions!J$207*MAX(0,MIN(Assumptions!$D$76*IF(Assumptions!J$191=2027,1+Assumptions!$F$175,1)/12,1.5*Assumptions!J$202)-1.1*Assumptions!J$202)+Assumptions!J$209*MAX(0,Assumptions!$D$76*IF(Assumptions!J$191=2027,1+Assumptions!$F$175,1)/12-1.5*Assumptions!J$202)))</f>
        <v>4993.725672</v>
      </c>
      <c r="K58" s="65" t="n">
        <f aca="false">K9*(MIN(Assumptions!$D$76*IF(Assumptions!K$191=2027,1+Assumptions!$F$175,1)/12,Assumptions!K$202)*Assumptions!K$203+(Assumptions!K$205*MAX(0,MIN(Assumptions!$D$76*IF(Assumptions!K$191=2027,1+Assumptions!$F$175,1)/12,1.1*Assumptions!K$202)-Assumptions!K$202)+Assumptions!K$207*MAX(0,MIN(Assumptions!$D$76*IF(Assumptions!K$191=2027,1+Assumptions!$F$175,1)/12,1.5*Assumptions!K$202)-1.1*Assumptions!K$202)+Assumptions!K$209*MAX(0,Assumptions!$D$76*IF(Assumptions!K$191=2027,1+Assumptions!$F$175,1)/12-1.5*Assumptions!K$202)))</f>
        <v>4993.725672</v>
      </c>
      <c r="L58" s="65" t="n">
        <f aca="false">L9*(MIN(Assumptions!$D$76*IF(Assumptions!L$191=2027,1+Assumptions!$F$175,1)/12,Assumptions!L$202)*Assumptions!L$203+(Assumptions!L$205*MAX(0,MIN(Assumptions!$D$76*IF(Assumptions!L$191=2027,1+Assumptions!$F$175,1)/12,1.1*Assumptions!L$202)-Assumptions!L$202)+Assumptions!L$207*MAX(0,MIN(Assumptions!$D$76*IF(Assumptions!L$191=2027,1+Assumptions!$F$175,1)/12,1.5*Assumptions!L$202)-1.1*Assumptions!L$202)+Assumptions!L$209*MAX(0,Assumptions!$D$76*IF(Assumptions!L$191=2027,1+Assumptions!$F$175,1)/12-1.5*Assumptions!L$202)))</f>
        <v>4993.725672</v>
      </c>
      <c r="M58" s="65" t="n">
        <f aca="false">M9*(MIN(Assumptions!$D$76*IF(Assumptions!M$191=2027,1+Assumptions!$F$175,1)/12,Assumptions!M$202)*Assumptions!M$203+(Assumptions!M$205*MAX(0,MIN(Assumptions!$D$76*IF(Assumptions!M$191=2027,1+Assumptions!$F$175,1)/12,1.1*Assumptions!M$202)-Assumptions!M$202)+Assumptions!M$207*MAX(0,MIN(Assumptions!$D$76*IF(Assumptions!M$191=2027,1+Assumptions!$F$175,1)/12,1.5*Assumptions!M$202)-1.1*Assumptions!M$202)+Assumptions!M$209*MAX(0,Assumptions!$D$76*IF(Assumptions!M$191=2027,1+Assumptions!$F$175,1)/12-1.5*Assumptions!M$202)))</f>
        <v>4943.78841528</v>
      </c>
      <c r="N58" s="65" t="n">
        <f aca="false">N9*(MIN(Assumptions!$D$76*IF(Assumptions!N$191=2027,1+Assumptions!$F$175,1)/12,Assumptions!N$202)*Assumptions!N$203+(Assumptions!N$205*MAX(0,MIN(Assumptions!$D$76*IF(Assumptions!N$191=2027,1+Assumptions!$F$175,1)/12,1.1*Assumptions!N$202)-Assumptions!N$202)+Assumptions!N$207*MAX(0,MIN(Assumptions!$D$76*IF(Assumptions!N$191=2027,1+Assumptions!$F$175,1)/12,1.5*Assumptions!N$202)-1.1*Assumptions!N$202)+Assumptions!N$209*MAX(0,Assumptions!$D$76*IF(Assumptions!N$191=2027,1+Assumptions!$F$175,1)/12-1.5*Assumptions!N$202)))</f>
        <v>4894.3505311272</v>
      </c>
      <c r="O58" s="65" t="n">
        <f aca="false">O9*(MIN(Assumptions!$D$76*IF(Assumptions!O$191=2027,1+Assumptions!$F$175,1)/12,Assumptions!O$202)*Assumptions!O$203+(Assumptions!O$205*MAX(0,MIN(Assumptions!$D$76*IF(Assumptions!O$191=2027,1+Assumptions!$F$175,1)/12,1.1*Assumptions!O$202)-Assumptions!O$202)+Assumptions!O$207*MAX(0,MIN(Assumptions!$D$76*IF(Assumptions!O$191=2027,1+Assumptions!$F$175,1)/12,1.5*Assumptions!O$202)-1.1*Assumptions!O$202)+Assumptions!O$209*MAX(0,Assumptions!$D$76*IF(Assumptions!O$191=2027,1+Assumptions!$F$175,1)/12-1.5*Assumptions!O$202)))</f>
        <v>4895.34428253593</v>
      </c>
      <c r="P58" s="65" t="n">
        <f aca="false">P9*(MIN(Assumptions!$D$76*IF(Assumptions!P$191=2027,1+Assumptions!$F$175,1)/12,Assumptions!P$202)*Assumptions!P$203+(Assumptions!P$205*MAX(0,MIN(Assumptions!$D$76*IF(Assumptions!P$191=2027,1+Assumptions!$F$175,1)/12,1.1*Assumptions!P$202)-Assumptions!P$202)+Assumptions!P$207*MAX(0,MIN(Assumptions!$D$76*IF(Assumptions!P$191=2027,1+Assumptions!$F$175,1)/12,1.5*Assumptions!P$202)-1.1*Assumptions!P$202)+Assumptions!P$209*MAX(0,Assumptions!$D$76*IF(Assumptions!P$191=2027,1+Assumptions!$F$175,1)/12-1.5*Assumptions!P$202)))</f>
        <v>4895.82872386337</v>
      </c>
      <c r="Q58" s="65" t="n">
        <f aca="false">Q9*(MIN(Assumptions!$D$76*IF(Assumptions!Q$191=2027,1+Assumptions!$F$175,1)/12,Assumptions!Q$202)*Assumptions!Q$203+(Assumptions!Q$205*MAX(0,MIN(Assumptions!$D$76*IF(Assumptions!Q$191=2027,1+Assumptions!$F$175,1)/12,1.1*Assumptions!Q$202)-Assumptions!Q$202)+Assumptions!Q$207*MAX(0,MIN(Assumptions!$D$76*IF(Assumptions!Q$191=2027,1+Assumptions!$F$175,1)/12,1.5*Assumptions!Q$202)-1.1*Assumptions!Q$202)+Assumptions!Q$209*MAX(0,Assumptions!$D$76*IF(Assumptions!Q$191=2027,1+Assumptions!$F$175,1)/12-1.5*Assumptions!Q$202)))</f>
        <v>5103.95832565178</v>
      </c>
      <c r="R58" s="65" t="n">
        <f aca="false">R9*(MIN(Assumptions!$D$76*IF(Assumptions!R$191=2027,1+Assumptions!$F$175,1)/12,Assumptions!R$202)*Assumptions!R$203+(Assumptions!R$205*MAX(0,MIN(Assumptions!$D$76*IF(Assumptions!R$191=2027,1+Assumptions!$F$175,1)/12,1.1*Assumptions!R$202)-Assumptions!R$202)+Assumptions!R$207*MAX(0,MIN(Assumptions!$D$76*IF(Assumptions!R$191=2027,1+Assumptions!$F$175,1)/12,1.5*Assumptions!R$202)-1.1*Assumptions!R$202)+Assumptions!R$209*MAX(0,Assumptions!$D$76*IF(Assumptions!R$191=2027,1+Assumptions!$F$175,1)/12-1.5*Assumptions!R$202)))</f>
        <v>5103.95342938319</v>
      </c>
      <c r="S58" s="65" t="n">
        <f aca="false">S9*(MIN(Assumptions!$D$76*IF(Assumptions!S$191=2027,1+Assumptions!$F$175,1)/12,Assumptions!S$202)*Assumptions!S$203+(Assumptions!S$205*MAX(0,MIN(Assumptions!$D$76*IF(Assumptions!S$191=2027,1+Assumptions!$F$175,1)/12,1.1*Assumptions!S$202)-Assumptions!S$202)+Assumptions!S$207*MAX(0,MIN(Assumptions!$D$76*IF(Assumptions!S$191=2027,1+Assumptions!$F$175,1)/12,1.5*Assumptions!S$202)-1.1*Assumptions!S$202)+Assumptions!S$209*MAX(0,Assumptions!$D$76*IF(Assumptions!S$191=2027,1+Assumptions!$F$175,1)/12-1.5*Assumptions!S$202)))</f>
        <v>5103.95363244965</v>
      </c>
      <c r="T58" s="65" t="n">
        <f aca="false">T9*(MIN(Assumptions!$D$76*IF(Assumptions!T$191=2027,1+Assumptions!$F$175,1)/12,Assumptions!T$202)*Assumptions!T$203+(Assumptions!T$205*MAX(0,MIN(Assumptions!$D$76*IF(Assumptions!T$191=2027,1+Assumptions!$F$175,1)/12,1.1*Assumptions!T$202)-Assumptions!T$202)+Assumptions!T$207*MAX(0,MIN(Assumptions!$D$76*IF(Assumptions!T$191=2027,1+Assumptions!$F$175,1)/12,1.5*Assumptions!T$202)-1.1*Assumptions!T$202)+Assumptions!T$209*MAX(0,Assumptions!$D$76*IF(Assumptions!T$191=2027,1+Assumptions!$F$175,1)/12-1.5*Assumptions!T$202)))</f>
        <v>5103.95367938167</v>
      </c>
      <c r="U58" s="65" t="n">
        <f aca="false">U9*(MIN(Assumptions!$D$76*IF(Assumptions!U$191=2027,1+Assumptions!$F$175,1)/12,Assumptions!U$202)*Assumptions!U$203+(Assumptions!U$205*MAX(0,MIN(Assumptions!$D$76*IF(Assumptions!U$191=2027,1+Assumptions!$F$175,1)/12,1.1*Assumptions!U$202)-Assumptions!U$202)+Assumptions!U$207*MAX(0,MIN(Assumptions!$D$76*IF(Assumptions!U$191=2027,1+Assumptions!$F$175,1)/12,1.5*Assumptions!U$202)-1.1*Assumptions!U$202)+Assumptions!U$209*MAX(0,Assumptions!$D$76*IF(Assumptions!U$191=2027,1+Assumptions!$F$175,1)/12-1.5*Assumptions!U$202)))</f>
        <v>5103.95367688169</v>
      </c>
      <c r="V58" s="65" t="n">
        <f aca="false">V9*(MIN(Assumptions!$D$76*IF(Assumptions!V$191=2027,1+Assumptions!$F$175,1)/12,Assumptions!V$202)*Assumptions!V$203+(Assumptions!V$205*MAX(0,MIN(Assumptions!$D$76*IF(Assumptions!V$191=2027,1+Assumptions!$F$175,1)/12,1.1*Assumptions!V$202)-Assumptions!V$202)+Assumptions!V$207*MAX(0,MIN(Assumptions!$D$76*IF(Assumptions!V$191=2027,1+Assumptions!$F$175,1)/12,1.5*Assumptions!V$202)-1.1*Assumptions!V$202)+Assumptions!V$209*MAX(0,Assumptions!$D$76*IF(Assumptions!V$191=2027,1+Assumptions!$F$175,1)/12-1.5*Assumptions!V$202)))</f>
        <v>5103.95367643737</v>
      </c>
      <c r="W58" s="65" t="n">
        <f aca="false">W9*(MIN(Assumptions!$D$76*IF(Assumptions!W$191=2027,1+Assumptions!$F$175,1)/12,Assumptions!W$202)*Assumptions!W$203+(Assumptions!W$205*MAX(0,MIN(Assumptions!$D$76*IF(Assumptions!W$191=2027,1+Assumptions!$F$175,1)/12,1.1*Assumptions!W$202)-Assumptions!W$202)+Assumptions!W$207*MAX(0,MIN(Assumptions!$D$76*IF(Assumptions!W$191=2027,1+Assumptions!$F$175,1)/12,1.5*Assumptions!W$202)-1.1*Assumptions!W$202)+Assumptions!W$209*MAX(0,Assumptions!$D$76*IF(Assumptions!W$191=2027,1+Assumptions!$F$175,1)/12-1.5*Assumptions!W$202)))</f>
        <v>5103.95367646681</v>
      </c>
      <c r="X58" s="65" t="n">
        <f aca="false">X9*(MIN(Assumptions!$D$76*IF(Assumptions!X$191=2027,1+Assumptions!$F$175,1)/12,Assumptions!X$202)*Assumptions!X$203+(Assumptions!X$205*MAX(0,MIN(Assumptions!$D$76*IF(Assumptions!X$191=2027,1+Assumptions!$F$175,1)/12,1.1*Assumptions!X$202)-Assumptions!X$202)+Assumptions!X$207*MAX(0,MIN(Assumptions!$D$76*IF(Assumptions!X$191=2027,1+Assumptions!$F$175,1)/12,1.5*Assumptions!X$202)-1.1*Assumptions!X$202)+Assumptions!X$209*MAX(0,Assumptions!$D$76*IF(Assumptions!X$191=2027,1+Assumptions!$F$175,1)/12-1.5*Assumptions!X$202)))</f>
        <v>5103.95367647096</v>
      </c>
      <c r="Y58" s="65" t="n">
        <f aca="false">Y9*(MIN(Assumptions!$D$76*IF(Assumptions!Y$191=2027,1+Assumptions!$F$175,1)/12,Assumptions!Y$202)*Assumptions!Y$203+(Assumptions!Y$205*MAX(0,MIN(Assumptions!$D$76*IF(Assumptions!Y$191=2027,1+Assumptions!$F$175,1)/12,1.1*Assumptions!Y$202)-Assumptions!Y$202)+Assumptions!Y$207*MAX(0,MIN(Assumptions!$D$76*IF(Assumptions!Y$191=2027,1+Assumptions!$F$175,1)/12,1.5*Assumptions!Y$202)-1.1*Assumptions!Y$202)+Assumptions!Y$209*MAX(0,Assumptions!$D$76*IF(Assumptions!Y$191=2027,1+Assumptions!$F$175,1)/12-1.5*Assumptions!Y$202)))</f>
        <v>5103.95367647062</v>
      </c>
      <c r="Z58" s="65" t="n">
        <f aca="false">Z9*(MIN(Assumptions!$D$76*IF(Assumptions!Z$191=2027,1+Assumptions!$F$175,1)/12,Assumptions!Z$202)*Assumptions!Z$203+(Assumptions!Z$205*MAX(0,MIN(Assumptions!$D$76*IF(Assumptions!Z$191=2027,1+Assumptions!$F$175,1)/12,1.1*Assumptions!Z$202)-Assumptions!Z$202)+Assumptions!Z$207*MAX(0,MIN(Assumptions!$D$76*IF(Assumptions!Z$191=2027,1+Assumptions!$F$175,1)/12,1.5*Assumptions!Z$202)-1.1*Assumptions!Z$202)+Assumptions!Z$209*MAX(0,Assumptions!$D$76*IF(Assumptions!Z$191=2027,1+Assumptions!$F$175,1)/12-1.5*Assumptions!Z$202)))</f>
        <v>5103.95367647058</v>
      </c>
      <c r="AA58" s="65" t="n">
        <f aca="false">AA9*(MIN(Assumptions!$D$76*IF(Assumptions!AA$191=2027,1+Assumptions!$F$175,1)/12,Assumptions!AA$202)*Assumptions!AA$203+(Assumptions!AA$205*MAX(0,MIN(Assumptions!$D$76*IF(Assumptions!AA$191=2027,1+Assumptions!$F$175,1)/12,1.1*Assumptions!AA$202)-Assumptions!AA$202)+Assumptions!AA$207*MAX(0,MIN(Assumptions!$D$76*IF(Assumptions!AA$191=2027,1+Assumptions!$F$175,1)/12,1.5*Assumptions!AA$202)-1.1*Assumptions!AA$202)+Assumptions!AA$209*MAX(0,Assumptions!$D$76*IF(Assumptions!AA$191=2027,1+Assumptions!$F$175,1)/12-1.5*Assumptions!AA$202)))</f>
        <v>5103.95367647059</v>
      </c>
      <c r="AB58" s="65" t="n">
        <f aca="false">AB9*(MIN(Assumptions!$D$76*IF(Assumptions!AB$191=2027,1+Assumptions!$F$175,1)/12,Assumptions!AB$202)*Assumptions!AB$203+(Assumptions!AB$205*MAX(0,MIN(Assumptions!$D$76*IF(Assumptions!AB$191=2027,1+Assumptions!$F$175,1)/12,1.1*Assumptions!AB$202)-Assumptions!AB$202)+Assumptions!AB$207*MAX(0,MIN(Assumptions!$D$76*IF(Assumptions!AB$191=2027,1+Assumptions!$F$175,1)/12,1.5*Assumptions!AB$202)-1.1*Assumptions!AB$202)+Assumptions!AB$209*MAX(0,Assumptions!$D$76*IF(Assumptions!AB$191=2027,1+Assumptions!$F$175,1)/12-1.5*Assumptions!AB$202)))</f>
        <v>5103.95367647059</v>
      </c>
    </row>
    <row r="59" customFormat="false" ht="15" hidden="false" customHeight="false" outlineLevel="0" collapsed="false">
      <c r="A59" s="28" t="s">
        <v>1108</v>
      </c>
      <c r="B59" s="63" t="s">
        <v>1107</v>
      </c>
      <c r="C59" s="64" t="n">
        <f aca="false">SUM(E59:P59)</f>
        <v>182286.778792892</v>
      </c>
      <c r="D59" s="64" t="n">
        <f aca="false">SUM(Q59:AB59)</f>
        <v>227712.630678385</v>
      </c>
      <c r="E59" s="65" t="n">
        <f aca="false">E10*(MIN(Assumptions!$D$77*IF(Assumptions!E$191=2027,1+Assumptions!$F$175,1)/12,Assumptions!E$202)*Assumptions!E$203+(Assumptions!E$205*MAX(0,MIN(Assumptions!$D$77*IF(Assumptions!E$191=2027,1+Assumptions!$F$175,1)/12,1.1*Assumptions!E$202)-Assumptions!E$202)+Assumptions!E$207*MAX(0,MIN(Assumptions!$D$77*IF(Assumptions!E$191=2027,1+Assumptions!$F$175,1)/12,1.5*Assumptions!E$202)-1.1*Assumptions!E$202)+Assumptions!E$209*MAX(0,Assumptions!$D$77*IF(Assumptions!E$191=2027,1+Assumptions!$F$175,1)/12-1.5*Assumptions!E$202)))</f>
        <v>13985.25</v>
      </c>
      <c r="F59" s="65" t="n">
        <f aca="false">F10*(MIN(Assumptions!$D$77*IF(Assumptions!F$191=2027,1+Assumptions!$F$175,1)/12,Assumptions!F$202)*Assumptions!F$203+(Assumptions!F$205*MAX(0,MIN(Assumptions!$D$77*IF(Assumptions!F$191=2027,1+Assumptions!$F$175,1)/12,1.1*Assumptions!F$202)-Assumptions!F$202)+Assumptions!F$207*MAX(0,MIN(Assumptions!$D$77*IF(Assumptions!F$191=2027,1+Assumptions!$F$175,1)/12,1.5*Assumptions!F$202)-1.1*Assumptions!F$202)+Assumptions!F$209*MAX(0,Assumptions!$D$77*IF(Assumptions!F$191=2027,1+Assumptions!$F$175,1)/12-1.5*Assumptions!F$202)))</f>
        <v>13985.25</v>
      </c>
      <c r="G59" s="65" t="n">
        <f aca="false">G10*(MIN(Assumptions!$D$77*IF(Assumptions!G$191=2027,1+Assumptions!$F$175,1)/12,Assumptions!G$202)*Assumptions!G$203+(Assumptions!G$205*MAX(0,MIN(Assumptions!$D$77*IF(Assumptions!G$191=2027,1+Assumptions!$F$175,1)/12,1.1*Assumptions!G$202)-Assumptions!G$202)+Assumptions!G$207*MAX(0,MIN(Assumptions!$D$77*IF(Assumptions!G$191=2027,1+Assumptions!$F$175,1)/12,1.5*Assumptions!G$202)-1.1*Assumptions!G$202)+Assumptions!G$209*MAX(0,Assumptions!$D$77*IF(Assumptions!G$191=2027,1+Assumptions!$F$175,1)/12-1.5*Assumptions!G$202)))</f>
        <v>15539.1666666667</v>
      </c>
      <c r="H59" s="65" t="n">
        <f aca="false">H10*(MIN(Assumptions!$D$77*IF(Assumptions!H$191=2027,1+Assumptions!$F$175,1)/12,Assumptions!H$202)*Assumptions!H$203+(Assumptions!H$205*MAX(0,MIN(Assumptions!$D$77*IF(Assumptions!H$191=2027,1+Assumptions!$F$175,1)/12,1.1*Assumptions!H$202)-Assumptions!H$202)+Assumptions!H$207*MAX(0,MIN(Assumptions!$D$77*IF(Assumptions!H$191=2027,1+Assumptions!$F$175,1)/12,1.5*Assumptions!H$202)-1.1*Assumptions!H$202)+Assumptions!H$209*MAX(0,Assumptions!$D$77*IF(Assumptions!H$191=2027,1+Assumptions!$F$175,1)/12-1.5*Assumptions!H$202)))</f>
        <v>15539.1666666667</v>
      </c>
      <c r="I59" s="65" t="n">
        <f aca="false">I10*(MIN(Assumptions!$D$77*IF(Assumptions!I$191=2027,1+Assumptions!$F$175,1)/12,Assumptions!I$202)*Assumptions!I$203+(Assumptions!I$205*MAX(0,MIN(Assumptions!$D$77*IF(Assumptions!I$191=2027,1+Assumptions!$F$175,1)/12,1.1*Assumptions!I$202)-Assumptions!I$202)+Assumptions!I$207*MAX(0,MIN(Assumptions!$D$77*IF(Assumptions!I$191=2027,1+Assumptions!$F$175,1)/12,1.5*Assumptions!I$202)-1.1*Assumptions!I$202)+Assumptions!I$209*MAX(0,Assumptions!$D$77*IF(Assumptions!I$191=2027,1+Assumptions!$F$175,1)/12-1.5*Assumptions!I$202)))</f>
        <v>15539.1666666667</v>
      </c>
      <c r="J59" s="65" t="n">
        <f aca="false">J10*(MIN(Assumptions!$D$77*IF(Assumptions!J$191=2027,1+Assumptions!$F$175,1)/12,Assumptions!J$202)*Assumptions!J$203+(Assumptions!J$205*MAX(0,MIN(Assumptions!$D$77*IF(Assumptions!J$191=2027,1+Assumptions!$F$175,1)/12,1.1*Assumptions!J$202)-Assumptions!J$202)+Assumptions!J$207*MAX(0,MIN(Assumptions!$D$77*IF(Assumptions!J$191=2027,1+Assumptions!$F$175,1)/12,1.5*Assumptions!J$202)-1.1*Assumptions!J$202)+Assumptions!J$209*MAX(0,Assumptions!$D$77*IF(Assumptions!J$191=2027,1+Assumptions!$F$175,1)/12-1.5*Assumptions!J$202)))</f>
        <v>15539.1666666667</v>
      </c>
      <c r="K59" s="65" t="n">
        <f aca="false">K10*(MIN(Assumptions!$D$77*IF(Assumptions!K$191=2027,1+Assumptions!$F$175,1)/12,Assumptions!K$202)*Assumptions!K$203+(Assumptions!K$205*MAX(0,MIN(Assumptions!$D$77*IF(Assumptions!K$191=2027,1+Assumptions!$F$175,1)/12,1.1*Assumptions!K$202)-Assumptions!K$202)+Assumptions!K$207*MAX(0,MIN(Assumptions!$D$77*IF(Assumptions!K$191=2027,1+Assumptions!$F$175,1)/12,1.5*Assumptions!K$202)-1.1*Assumptions!K$202)+Assumptions!K$209*MAX(0,Assumptions!$D$77*IF(Assumptions!K$191=2027,1+Assumptions!$F$175,1)/12-1.5*Assumptions!K$202)))</f>
        <v>15539.1666666667</v>
      </c>
      <c r="L59" s="65" t="n">
        <f aca="false">L10*(MIN(Assumptions!$D$77*IF(Assumptions!L$191=2027,1+Assumptions!$F$175,1)/12,Assumptions!L$202)*Assumptions!L$203+(Assumptions!L$205*MAX(0,MIN(Assumptions!$D$77*IF(Assumptions!L$191=2027,1+Assumptions!$F$175,1)/12,1.1*Assumptions!L$202)-Assumptions!L$202)+Assumptions!L$207*MAX(0,MIN(Assumptions!$D$77*IF(Assumptions!L$191=2027,1+Assumptions!$F$175,1)/12,1.5*Assumptions!L$202)-1.1*Assumptions!L$202)+Assumptions!L$209*MAX(0,Assumptions!$D$77*IF(Assumptions!L$191=2027,1+Assumptions!$F$175,1)/12-1.5*Assumptions!L$202)))</f>
        <v>15539.1666666667</v>
      </c>
      <c r="M59" s="65" t="n">
        <f aca="false">M10*(MIN(Assumptions!$D$77*IF(Assumptions!M$191=2027,1+Assumptions!$F$175,1)/12,Assumptions!M$202)*Assumptions!M$203+(Assumptions!M$205*MAX(0,MIN(Assumptions!$D$77*IF(Assumptions!M$191=2027,1+Assumptions!$F$175,1)/12,1.1*Assumptions!M$202)-Assumptions!M$202)+Assumptions!M$207*MAX(0,MIN(Assumptions!$D$77*IF(Assumptions!M$191=2027,1+Assumptions!$F$175,1)/12,1.5*Assumptions!M$202)-1.1*Assumptions!M$202)+Assumptions!M$209*MAX(0,Assumptions!$D$77*IF(Assumptions!M$191=2027,1+Assumptions!$F$175,1)/12-1.5*Assumptions!M$202)))</f>
        <v>15383.775</v>
      </c>
      <c r="N59" s="65" t="n">
        <f aca="false">N10*(MIN(Assumptions!$D$77*IF(Assumptions!N$191=2027,1+Assumptions!$F$175,1)/12,Assumptions!N$202)*Assumptions!N$203+(Assumptions!N$205*MAX(0,MIN(Assumptions!$D$77*IF(Assumptions!N$191=2027,1+Assumptions!$F$175,1)/12,1.1*Assumptions!N$202)-Assumptions!N$202)+Assumptions!N$207*MAX(0,MIN(Assumptions!$D$77*IF(Assumptions!N$191=2027,1+Assumptions!$F$175,1)/12,1.5*Assumptions!N$202)-1.1*Assumptions!N$202)+Assumptions!N$209*MAX(0,Assumptions!$D$77*IF(Assumptions!N$191=2027,1+Assumptions!$F$175,1)/12-1.5*Assumptions!N$202)))</f>
        <v>15229.93725</v>
      </c>
      <c r="O59" s="65" t="n">
        <f aca="false">O10*(MIN(Assumptions!$D$77*IF(Assumptions!O$191=2027,1+Assumptions!$F$175,1)/12,Assumptions!O$202)*Assumptions!O$203+(Assumptions!O$205*MAX(0,MIN(Assumptions!$D$77*IF(Assumptions!O$191=2027,1+Assumptions!$F$175,1)/12,1.1*Assumptions!O$202)-Assumptions!O$202)+Assumptions!O$207*MAX(0,MIN(Assumptions!$D$77*IF(Assumptions!O$191=2027,1+Assumptions!$F$175,1)/12,1.5*Assumptions!O$202)-1.1*Assumptions!O$202)+Assumptions!O$209*MAX(0,Assumptions!$D$77*IF(Assumptions!O$191=2027,1+Assumptions!$F$175,1)/12-1.5*Assumptions!O$202)))</f>
        <v>15233.0295441667</v>
      </c>
      <c r="P59" s="65" t="n">
        <f aca="false">P10*(MIN(Assumptions!$D$77*IF(Assumptions!P$191=2027,1+Assumptions!$F$175,1)/12,Assumptions!P$202)*Assumptions!P$203+(Assumptions!P$205*MAX(0,MIN(Assumptions!$D$77*IF(Assumptions!P$191=2027,1+Assumptions!$F$175,1)/12,1.1*Assumptions!P$202)-Assumptions!P$202)+Assumptions!P$207*MAX(0,MIN(Assumptions!$D$77*IF(Assumptions!P$191=2027,1+Assumptions!$F$175,1)/12,1.5*Assumptions!P$202)-1.1*Assumptions!P$202)+Assumptions!P$209*MAX(0,Assumptions!$D$77*IF(Assumptions!P$191=2027,1+Assumptions!$F$175,1)/12-1.5*Assumptions!P$202)))</f>
        <v>15234.536998725</v>
      </c>
      <c r="Q59" s="65" t="n">
        <f aca="false">Q10*(MIN(Assumptions!$D$77*IF(Assumptions!Q$191=2027,1+Assumptions!$F$175,1)/12,Assumptions!Q$202)*Assumptions!Q$203+(Assumptions!Q$205*MAX(0,MIN(Assumptions!$D$77*IF(Assumptions!Q$191=2027,1+Assumptions!$F$175,1)/12,1.1*Assumptions!Q$202)-Assumptions!Q$202)+Assumptions!Q$207*MAX(0,MIN(Assumptions!$D$77*IF(Assumptions!Q$191=2027,1+Assumptions!$F$175,1)/12,1.5*Assumptions!Q$202)-1.1*Assumptions!Q$202)+Assumptions!Q$209*MAX(0,Assumptions!$D$77*IF(Assumptions!Q$191=2027,1+Assumptions!$F$175,1)/12-1.5*Assumptions!Q$202)))</f>
        <v>19031.5450161381</v>
      </c>
      <c r="R59" s="65" t="n">
        <f aca="false">R10*(MIN(Assumptions!$D$77*IF(Assumptions!R$191=2027,1+Assumptions!$F$175,1)/12,Assumptions!R$202)*Assumptions!R$203+(Assumptions!R$205*MAX(0,MIN(Assumptions!$D$77*IF(Assumptions!R$191=2027,1+Assumptions!$F$175,1)/12,1.1*Assumptions!R$202)-Assumptions!R$202)+Assumptions!R$207*MAX(0,MIN(Assumptions!$D$77*IF(Assumptions!R$191=2027,1+Assumptions!$F$175,1)/12,1.5*Assumptions!R$202)-1.1*Assumptions!R$202)+Assumptions!R$209*MAX(0,Assumptions!$D$77*IF(Assumptions!R$191=2027,1+Assumptions!$F$175,1)/12-1.5*Assumptions!R$202)))</f>
        <v>18999.2837374186</v>
      </c>
      <c r="S59" s="65" t="n">
        <f aca="false">S10*(MIN(Assumptions!$D$77*IF(Assumptions!S$191=2027,1+Assumptions!$F$175,1)/12,Assumptions!S$202)*Assumptions!S$203+(Assumptions!S$205*MAX(0,MIN(Assumptions!$D$77*IF(Assumptions!S$191=2027,1+Assumptions!$F$175,1)/12,1.1*Assumptions!S$202)-Assumptions!S$202)+Assumptions!S$207*MAX(0,MIN(Assumptions!$D$77*IF(Assumptions!S$191=2027,1+Assumptions!$F$175,1)/12,1.5*Assumptions!S$202)-1.1*Assumptions!S$202)+Assumptions!S$209*MAX(0,Assumptions!$D$77*IF(Assumptions!S$191=2027,1+Assumptions!$F$175,1)/12-1.5*Assumptions!S$202)))</f>
        <v>18967.3607124644</v>
      </c>
      <c r="T59" s="65" t="n">
        <f aca="false">T10*(MIN(Assumptions!$D$77*IF(Assumptions!T$191=2027,1+Assumptions!$F$175,1)/12,Assumptions!T$202)*Assumptions!T$203+(Assumptions!T$205*MAX(0,MIN(Assumptions!$D$77*IF(Assumptions!T$191=2027,1+Assumptions!$F$175,1)/12,1.1*Assumptions!T$202)-Assumptions!T$202)+Assumptions!T$207*MAX(0,MIN(Assumptions!$D$77*IF(Assumptions!T$191=2027,1+Assumptions!$F$175,1)/12,1.5*Assumptions!T$202)-1.1*Assumptions!T$202)+Assumptions!T$209*MAX(0,Assumptions!$D$77*IF(Assumptions!T$191=2027,1+Assumptions!$F$175,1)/12-1.5*Assumptions!T$202)))</f>
        <v>18968.0025555012</v>
      </c>
      <c r="U59" s="65" t="n">
        <f aca="false">U10*(MIN(Assumptions!$D$77*IF(Assumptions!U$191=2027,1+Assumptions!$F$175,1)/12,Assumptions!U$202)*Assumptions!U$203+(Assumptions!U$205*MAX(0,MIN(Assumptions!$D$77*IF(Assumptions!U$191=2027,1+Assumptions!$F$175,1)/12,1.1*Assumptions!U$202)-Assumptions!U$202)+Assumptions!U$207*MAX(0,MIN(Assumptions!$D$77*IF(Assumptions!U$191=2027,1+Assumptions!$F$175,1)/12,1.5*Assumptions!U$202)-1.1*Assumptions!U$202)+Assumptions!U$209*MAX(0,Assumptions!$D$77*IF(Assumptions!U$191=2027,1+Assumptions!$F$175,1)/12-1.5*Assumptions!U$202)))</f>
        <v>18968.3153673203</v>
      </c>
      <c r="V59" s="65" t="n">
        <f aca="false">V10*(MIN(Assumptions!$D$77*IF(Assumptions!V$191=2027,1+Assumptions!$F$175,1)/12,Assumptions!V$202)*Assumptions!V$203+(Assumptions!V$205*MAX(0,MIN(Assumptions!$D$77*IF(Assumptions!V$191=2027,1+Assumptions!$F$175,1)/12,1.1*Assumptions!V$202)-Assumptions!V$202)+Assumptions!V$207*MAX(0,MIN(Assumptions!$D$77*IF(Assumptions!V$191=2027,1+Assumptions!$F$175,1)/12,1.5*Assumptions!V$202)-1.1*Assumptions!V$202)+Assumptions!V$209*MAX(0,Assumptions!$D$77*IF(Assumptions!V$191=2027,1+Assumptions!$F$175,1)/12-1.5*Assumptions!V$202)))</f>
        <v>18968.3058207718</v>
      </c>
      <c r="W59" s="65" t="n">
        <f aca="false">W10*(MIN(Assumptions!$D$77*IF(Assumptions!W$191=2027,1+Assumptions!$F$175,1)/12,Assumptions!W$202)*Assumptions!W$203+(Assumptions!W$205*MAX(0,MIN(Assumptions!$D$77*IF(Assumptions!W$191=2027,1+Assumptions!$F$175,1)/12,1.1*Assumptions!W$202)-Assumptions!W$202)+Assumptions!W$207*MAX(0,MIN(Assumptions!$D$77*IF(Assumptions!W$191=2027,1+Assumptions!$F$175,1)/12,1.5*Assumptions!W$202)-1.1*Assumptions!W$202)+Assumptions!W$209*MAX(0,Assumptions!$D$77*IF(Assumptions!W$191=2027,1+Assumptions!$F$175,1)/12-1.5*Assumptions!W$202)))</f>
        <v>18968.3027881191</v>
      </c>
      <c r="X59" s="65" t="n">
        <f aca="false">X10*(MIN(Assumptions!$D$77*IF(Assumptions!X$191=2027,1+Assumptions!$F$175,1)/12,Assumptions!X$202)*Assumptions!X$203+(Assumptions!X$205*MAX(0,MIN(Assumptions!$D$77*IF(Assumptions!X$191=2027,1+Assumptions!$F$175,1)/12,1.1*Assumptions!X$202)-Assumptions!X$202)+Assumptions!X$207*MAX(0,MIN(Assumptions!$D$77*IF(Assumptions!X$191=2027,1+Assumptions!$F$175,1)/12,1.5*Assumptions!X$202)-1.1*Assumptions!X$202)+Assumptions!X$209*MAX(0,Assumptions!$D$77*IF(Assumptions!X$191=2027,1+Assumptions!$F$175,1)/12-1.5*Assumptions!X$202)))</f>
        <v>18968.3029139111</v>
      </c>
      <c r="Y59" s="65" t="n">
        <f aca="false">Y10*(MIN(Assumptions!$D$77*IF(Assumptions!Y$191=2027,1+Assumptions!$F$175,1)/12,Assumptions!Y$202)*Assumptions!Y$203+(Assumptions!Y$205*MAX(0,MIN(Assumptions!$D$77*IF(Assumptions!Y$191=2027,1+Assumptions!$F$175,1)/12,1.1*Assumptions!Y$202)-Assumptions!Y$202)+Assumptions!Y$207*MAX(0,MIN(Assumptions!$D$77*IF(Assumptions!Y$191=2027,1+Assumptions!$F$175,1)/12,1.5*Assumptions!Y$202)-1.1*Assumptions!Y$202)+Assumptions!Y$209*MAX(0,Assumptions!$D$77*IF(Assumptions!Y$191=2027,1+Assumptions!$F$175,1)/12-1.5*Assumptions!Y$202)))</f>
        <v>18968.3029429797</v>
      </c>
      <c r="Z59" s="65" t="n">
        <f aca="false">Z10*(MIN(Assumptions!$D$77*IF(Assumptions!Z$191=2027,1+Assumptions!$F$175,1)/12,Assumptions!Z$202)*Assumptions!Z$203+(Assumptions!Z$205*MAX(0,MIN(Assumptions!$D$77*IF(Assumptions!Z$191=2027,1+Assumptions!$F$175,1)/12,1.1*Assumptions!Z$202)-Assumptions!Z$202)+Assumptions!Z$207*MAX(0,MIN(Assumptions!$D$77*IF(Assumptions!Z$191=2027,1+Assumptions!$F$175,1)/12,1.5*Assumptions!Z$202)-1.1*Assumptions!Z$202)+Assumptions!Z$209*MAX(0,Assumptions!$D$77*IF(Assumptions!Z$191=2027,1+Assumptions!$F$175,1)/12-1.5*Assumptions!Z$202)))</f>
        <v>18968.3029414311</v>
      </c>
      <c r="AA59" s="65" t="n">
        <f aca="false">AA10*(MIN(Assumptions!$D$77*IF(Assumptions!AA$191=2027,1+Assumptions!$F$175,1)/12,Assumptions!AA$202)*Assumptions!AA$203+(Assumptions!AA$205*MAX(0,MIN(Assumptions!$D$77*IF(Assumptions!AA$191=2027,1+Assumptions!$F$175,1)/12,1.1*Assumptions!AA$202)-Assumptions!AA$202)+Assumptions!AA$207*MAX(0,MIN(Assumptions!$D$77*IF(Assumptions!AA$191=2027,1+Assumptions!$F$175,1)/12,1.5*Assumptions!AA$202)-1.1*Assumptions!AA$202)+Assumptions!AA$209*MAX(0,Assumptions!$D$77*IF(Assumptions!AA$191=2027,1+Assumptions!$F$175,1)/12-1.5*Assumptions!AA$202)))</f>
        <v>18968.3029411559</v>
      </c>
      <c r="AB59" s="65" t="n">
        <f aca="false">AB10*(MIN(Assumptions!$D$77*IF(Assumptions!AB$191=2027,1+Assumptions!$F$175,1)/12,Assumptions!AB$202)*Assumptions!AB$203+(Assumptions!AB$205*MAX(0,MIN(Assumptions!$D$77*IF(Assumptions!AB$191=2027,1+Assumptions!$F$175,1)/12,1.1*Assumptions!AB$202)-Assumptions!AB$202)+Assumptions!AB$207*MAX(0,MIN(Assumptions!$D$77*IF(Assumptions!AB$191=2027,1+Assumptions!$F$175,1)/12,1.5*Assumptions!AB$202)-1.1*Assumptions!AB$202)+Assumptions!AB$209*MAX(0,Assumptions!$D$77*IF(Assumptions!AB$191=2027,1+Assumptions!$F$175,1)/12-1.5*Assumptions!AB$202)))</f>
        <v>18968.3029411741</v>
      </c>
    </row>
    <row r="60" customFormat="false" ht="15" hidden="false" customHeight="false" outlineLevel="0" collapsed="false">
      <c r="A60" s="28" t="s">
        <v>1109</v>
      </c>
      <c r="B60" s="63" t="s">
        <v>1107</v>
      </c>
      <c r="C60" s="64" t="n">
        <f aca="false">SUM(E60:P60)</f>
        <v>188673.140416915</v>
      </c>
      <c r="D60" s="64" t="n">
        <f aca="false">SUM(Q60:AB60)</f>
        <v>226709.07321052</v>
      </c>
      <c r="E60" s="65" t="n">
        <f aca="false">E11*(MIN(Assumptions!$D$78*IF(Assumptions!E$191=2027,1+Assumptions!$F$175,1)/12,Assumptions!E$202)*Assumptions!E$203+(Assumptions!E$205*MAX(0,MIN(Assumptions!$D$78*IF(Assumptions!E$191=2027,1+Assumptions!$F$175,1)/12,1.1*Assumptions!E$202)-Assumptions!E$202)+Assumptions!E$207*MAX(0,MIN(Assumptions!$D$78*IF(Assumptions!E$191=2027,1+Assumptions!$F$175,1)/12,1.5*Assumptions!E$202)-1.1*Assumptions!E$202)+Assumptions!E$209*MAX(0,Assumptions!$D$78*IF(Assumptions!E$191=2027,1+Assumptions!$F$175,1)/12-1.5*Assumptions!E$202)))</f>
        <v>14146</v>
      </c>
      <c r="F60" s="65" t="n">
        <f aca="false">F11*(MIN(Assumptions!$D$78*IF(Assumptions!F$191=2027,1+Assumptions!$F$175,1)/12,Assumptions!F$202)*Assumptions!F$203+(Assumptions!F$205*MAX(0,MIN(Assumptions!$D$78*IF(Assumptions!F$191=2027,1+Assumptions!$F$175,1)/12,1.1*Assumptions!F$202)-Assumptions!F$202)+Assumptions!F$207*MAX(0,MIN(Assumptions!$D$78*IF(Assumptions!F$191=2027,1+Assumptions!$F$175,1)/12,1.5*Assumptions!F$202)-1.1*Assumptions!F$202)+Assumptions!F$209*MAX(0,Assumptions!$D$78*IF(Assumptions!F$191=2027,1+Assumptions!$F$175,1)/12-1.5*Assumptions!F$202)))</f>
        <v>15324.8333333333</v>
      </c>
      <c r="G60" s="65" t="n">
        <f aca="false">G11*(MIN(Assumptions!$D$78*IF(Assumptions!G$191=2027,1+Assumptions!$F$175,1)/12,Assumptions!G$202)*Assumptions!G$203+(Assumptions!G$205*MAX(0,MIN(Assumptions!$D$78*IF(Assumptions!G$191=2027,1+Assumptions!$F$175,1)/12,1.1*Assumptions!G$202)-Assumptions!G$202)+Assumptions!G$207*MAX(0,MIN(Assumptions!$D$78*IF(Assumptions!G$191=2027,1+Assumptions!$F$175,1)/12,1.5*Assumptions!G$202)-1.1*Assumptions!G$202)+Assumptions!G$209*MAX(0,Assumptions!$D$78*IF(Assumptions!G$191=2027,1+Assumptions!$F$175,1)/12-1.5*Assumptions!G$202)))</f>
        <v>15324.8333333333</v>
      </c>
      <c r="H60" s="65" t="n">
        <f aca="false">H11*(MIN(Assumptions!$D$78*IF(Assumptions!H$191=2027,1+Assumptions!$F$175,1)/12,Assumptions!H$202)*Assumptions!H$203+(Assumptions!H$205*MAX(0,MIN(Assumptions!$D$78*IF(Assumptions!H$191=2027,1+Assumptions!$F$175,1)/12,1.1*Assumptions!H$202)-Assumptions!H$202)+Assumptions!H$207*MAX(0,MIN(Assumptions!$D$78*IF(Assumptions!H$191=2027,1+Assumptions!$F$175,1)/12,1.5*Assumptions!H$202)-1.1*Assumptions!H$202)+Assumptions!H$209*MAX(0,Assumptions!$D$78*IF(Assumptions!H$191=2027,1+Assumptions!$F$175,1)/12-1.5*Assumptions!H$202)))</f>
        <v>15324.8333333333</v>
      </c>
      <c r="I60" s="65" t="n">
        <f aca="false">I11*(MIN(Assumptions!$D$78*IF(Assumptions!I$191=2027,1+Assumptions!$F$175,1)/12,Assumptions!I$202)*Assumptions!I$203+(Assumptions!I$205*MAX(0,MIN(Assumptions!$D$78*IF(Assumptions!I$191=2027,1+Assumptions!$F$175,1)/12,1.1*Assumptions!I$202)-Assumptions!I$202)+Assumptions!I$207*MAX(0,MIN(Assumptions!$D$78*IF(Assumptions!I$191=2027,1+Assumptions!$F$175,1)/12,1.5*Assumptions!I$202)-1.1*Assumptions!I$202)+Assumptions!I$209*MAX(0,Assumptions!$D$78*IF(Assumptions!I$191=2027,1+Assumptions!$F$175,1)/12-1.5*Assumptions!I$202)))</f>
        <v>16503.6666666667</v>
      </c>
      <c r="J60" s="65" t="n">
        <f aca="false">J11*(MIN(Assumptions!$D$78*IF(Assumptions!J$191=2027,1+Assumptions!$F$175,1)/12,Assumptions!J$202)*Assumptions!J$203+(Assumptions!J$205*MAX(0,MIN(Assumptions!$D$78*IF(Assumptions!J$191=2027,1+Assumptions!$F$175,1)/12,1.1*Assumptions!J$202)-Assumptions!J$202)+Assumptions!J$207*MAX(0,MIN(Assumptions!$D$78*IF(Assumptions!J$191=2027,1+Assumptions!$F$175,1)/12,1.5*Assumptions!J$202)-1.1*Assumptions!J$202)+Assumptions!J$209*MAX(0,Assumptions!$D$78*IF(Assumptions!J$191=2027,1+Assumptions!$F$175,1)/12-1.5*Assumptions!J$202)))</f>
        <v>16503.6666666667</v>
      </c>
      <c r="K60" s="65" t="n">
        <f aca="false">K11*(MIN(Assumptions!$D$78*IF(Assumptions!K$191=2027,1+Assumptions!$F$175,1)/12,Assumptions!K$202)*Assumptions!K$203+(Assumptions!K$205*MAX(0,MIN(Assumptions!$D$78*IF(Assumptions!K$191=2027,1+Assumptions!$F$175,1)/12,1.1*Assumptions!K$202)-Assumptions!K$202)+Assumptions!K$207*MAX(0,MIN(Assumptions!$D$78*IF(Assumptions!K$191=2027,1+Assumptions!$F$175,1)/12,1.5*Assumptions!K$202)-1.1*Assumptions!K$202)+Assumptions!K$209*MAX(0,Assumptions!$D$78*IF(Assumptions!K$191=2027,1+Assumptions!$F$175,1)/12-1.5*Assumptions!K$202)))</f>
        <v>15324.8333333333</v>
      </c>
      <c r="L60" s="65" t="n">
        <f aca="false">L11*(MIN(Assumptions!$D$78*IF(Assumptions!L$191=2027,1+Assumptions!$F$175,1)/12,Assumptions!L$202)*Assumptions!L$203+(Assumptions!L$205*MAX(0,MIN(Assumptions!$D$78*IF(Assumptions!L$191=2027,1+Assumptions!$F$175,1)/12,1.1*Assumptions!L$202)-Assumptions!L$202)+Assumptions!L$207*MAX(0,MIN(Assumptions!$D$78*IF(Assumptions!L$191=2027,1+Assumptions!$F$175,1)/12,1.5*Assumptions!L$202)-1.1*Assumptions!L$202)+Assumptions!L$209*MAX(0,Assumptions!$D$78*IF(Assumptions!L$191=2027,1+Assumptions!$F$175,1)/12-1.5*Assumptions!L$202)))</f>
        <v>15324.8333333333</v>
      </c>
      <c r="M60" s="65" t="n">
        <f aca="false">M11*(MIN(Assumptions!$D$78*IF(Assumptions!M$191=2027,1+Assumptions!$F$175,1)/12,Assumptions!M$202)*Assumptions!M$203+(Assumptions!M$205*MAX(0,MIN(Assumptions!$D$78*IF(Assumptions!M$191=2027,1+Assumptions!$F$175,1)/12,1.1*Assumptions!M$202)-Assumptions!M$202)+Assumptions!M$207*MAX(0,MIN(Assumptions!$D$78*IF(Assumptions!M$191=2027,1+Assumptions!$F$175,1)/12,1.5*Assumptions!M$202)-1.1*Assumptions!M$202)+Assumptions!M$209*MAX(0,Assumptions!$D$78*IF(Assumptions!M$191=2027,1+Assumptions!$F$175,1)/12-1.5*Assumptions!M$202)))</f>
        <v>16350.4183333333</v>
      </c>
      <c r="N60" s="65" t="n">
        <f aca="false">N11*(MIN(Assumptions!$D$78*IF(Assumptions!N$191=2027,1+Assumptions!$F$175,1)/12,Assumptions!N$202)*Assumptions!N$203+(Assumptions!N$205*MAX(0,MIN(Assumptions!$D$78*IF(Assumptions!N$191=2027,1+Assumptions!$F$175,1)/12,1.1*Assumptions!N$202)-Assumptions!N$202)+Assumptions!N$207*MAX(0,MIN(Assumptions!$D$78*IF(Assumptions!N$191=2027,1+Assumptions!$F$175,1)/12,1.5*Assumptions!N$202)-1.1*Assumptions!N$202)+Assumptions!N$209*MAX(0,Assumptions!$D$78*IF(Assumptions!N$191=2027,1+Assumptions!$F$175,1)/12-1.5*Assumptions!N$202)))</f>
        <v>16186.91415</v>
      </c>
      <c r="O60" s="65" t="n">
        <f aca="false">O11*(MIN(Assumptions!$D$78*IF(Assumptions!O$191=2027,1+Assumptions!$F$175,1)/12,Assumptions!O$202)*Assumptions!O$203+(Assumptions!O$205*MAX(0,MIN(Assumptions!$D$78*IF(Assumptions!O$191=2027,1+Assumptions!$F$175,1)/12,1.1*Assumptions!O$202)-Assumptions!O$202)+Assumptions!O$207*MAX(0,MIN(Assumptions!$D$78*IF(Assumptions!O$191=2027,1+Assumptions!$F$175,1)/12,1.5*Assumptions!O$202)-1.1*Assumptions!O$202)+Assumptions!O$209*MAX(0,Assumptions!$D$78*IF(Assumptions!O$191=2027,1+Assumptions!$F$175,1)/12-1.5*Assumptions!O$202)))</f>
        <v>16178.2933418333</v>
      </c>
      <c r="P60" s="65" t="n">
        <f aca="false">P11*(MIN(Assumptions!$D$78*IF(Assumptions!P$191=2027,1+Assumptions!$F$175,1)/12,Assumptions!P$202)*Assumptions!P$203+(Assumptions!P$205*MAX(0,MIN(Assumptions!$D$78*IF(Assumptions!P$191=2027,1+Assumptions!$F$175,1)/12,1.1*Assumptions!P$202)-Assumptions!P$202)+Assumptions!P$207*MAX(0,MIN(Assumptions!$D$78*IF(Assumptions!P$191=2027,1+Assumptions!$F$175,1)/12,1.5*Assumptions!P$202)-1.1*Assumptions!P$202)+Assumptions!P$209*MAX(0,Assumptions!$D$78*IF(Assumptions!P$191=2027,1+Assumptions!$F$175,1)/12-1.5*Assumptions!P$202)))</f>
        <v>16180.0145917483</v>
      </c>
      <c r="Q60" s="65" t="n">
        <f aca="false">Q11*(MIN(Assumptions!$D$78*IF(Assumptions!Q$191=2027,1+Assumptions!$F$175,1)/12,Assumptions!Q$202)*Assumptions!Q$203+(Assumptions!Q$205*MAX(0,MIN(Assumptions!$D$78*IF(Assumptions!Q$191=2027,1+Assumptions!$F$175,1)/12,1.1*Assumptions!Q$202)-Assumptions!Q$202)+Assumptions!Q$207*MAX(0,MIN(Assumptions!$D$78*IF(Assumptions!Q$191=2027,1+Assumptions!$F$175,1)/12,1.5*Assumptions!Q$202)-1.1*Assumptions!Q$202)+Assumptions!Q$209*MAX(0,Assumptions!$D$78*IF(Assumptions!Q$191=2027,1+Assumptions!$F$175,1)/12-1.5*Assumptions!Q$202)))</f>
        <v>18011.1856480672</v>
      </c>
      <c r="R60" s="65" t="n">
        <f aca="false">R11*(MIN(Assumptions!$D$78*IF(Assumptions!R$191=2027,1+Assumptions!$F$175,1)/12,Assumptions!R$202)*Assumptions!R$203+(Assumptions!R$205*MAX(0,MIN(Assumptions!$D$78*IF(Assumptions!R$191=2027,1+Assumptions!$F$175,1)/12,1.1*Assumptions!R$202)-Assumptions!R$202)+Assumptions!R$207*MAX(0,MIN(Assumptions!$D$78*IF(Assumptions!R$191=2027,1+Assumptions!$F$175,1)/12,1.5*Assumptions!R$202)-1.1*Assumptions!R$202)+Assumptions!R$209*MAX(0,Assumptions!$D$78*IF(Assumptions!R$191=2027,1+Assumptions!$F$175,1)/12-1.5*Assumptions!R$202)))</f>
        <v>17998.9357879199</v>
      </c>
      <c r="S60" s="65" t="n">
        <f aca="false">S11*(MIN(Assumptions!$D$78*IF(Assumptions!S$191=2027,1+Assumptions!$F$175,1)/12,Assumptions!S$202)*Assumptions!S$203+(Assumptions!S$205*MAX(0,MIN(Assumptions!$D$78*IF(Assumptions!S$191=2027,1+Assumptions!$F$175,1)/12,1.1*Assumptions!S$202)-Assumptions!S$202)+Assumptions!S$207*MAX(0,MIN(Assumptions!$D$78*IF(Assumptions!S$191=2027,1+Assumptions!$F$175,1)/12,1.5*Assumptions!S$202)-1.1*Assumptions!S$202)+Assumptions!S$209*MAX(0,Assumptions!$D$78*IF(Assumptions!S$191=2027,1+Assumptions!$F$175,1)/12-1.5*Assumptions!S$202)))</f>
        <v>17986.8262856401</v>
      </c>
      <c r="T60" s="65" t="n">
        <f aca="false">T11*(MIN(Assumptions!$D$78*IF(Assumptions!T$191=2027,1+Assumptions!$F$175,1)/12,Assumptions!T$202)*Assumptions!T$203+(Assumptions!T$205*MAX(0,MIN(Assumptions!$D$78*IF(Assumptions!T$191=2027,1+Assumptions!$F$175,1)/12,1.1*Assumptions!T$202)-Assumptions!T$202)+Assumptions!T$207*MAX(0,MIN(Assumptions!$D$78*IF(Assumptions!T$191=2027,1+Assumptions!$F$175,1)/12,1.5*Assumptions!T$202)-1.1*Assumptions!T$202)+Assumptions!T$209*MAX(0,Assumptions!$D$78*IF(Assumptions!T$191=2027,1+Assumptions!$F$175,1)/12-1.5*Assumptions!T$202)))</f>
        <v>19210.1983792644</v>
      </c>
      <c r="U60" s="65" t="n">
        <f aca="false">U11*(MIN(Assumptions!$D$78*IF(Assumptions!U$191=2027,1+Assumptions!$F$175,1)/12,Assumptions!U$202)*Assumptions!U$203+(Assumptions!U$205*MAX(0,MIN(Assumptions!$D$78*IF(Assumptions!U$191=2027,1+Assumptions!$F$175,1)/12,1.1*Assumptions!U$202)-Assumptions!U$202)+Assumptions!U$207*MAX(0,MIN(Assumptions!$D$78*IF(Assumptions!U$191=2027,1+Assumptions!$F$175,1)/12,1.5*Assumptions!U$202)-1.1*Assumptions!U$202)+Assumptions!U$209*MAX(0,Assumptions!$D$78*IF(Assumptions!U$191=2027,1+Assumptions!$F$175,1)/12-1.5*Assumptions!U$202)))</f>
        <v>19198.085753351</v>
      </c>
      <c r="V60" s="65" t="n">
        <f aca="false">V11*(MIN(Assumptions!$D$78*IF(Assumptions!V$191=2027,1+Assumptions!$F$175,1)/12,Assumptions!V$202)*Assumptions!V$203+(Assumptions!V$205*MAX(0,MIN(Assumptions!$D$78*IF(Assumptions!V$191=2027,1+Assumptions!$F$175,1)/12,1.1*Assumptions!V$202)-Assumptions!V$202)+Assumptions!V$207*MAX(0,MIN(Assumptions!$D$78*IF(Assumptions!V$191=2027,1+Assumptions!$F$175,1)/12,1.5*Assumptions!V$202)-1.1*Assumptions!V$202)+Assumptions!V$209*MAX(0,Assumptions!$D$78*IF(Assumptions!V$191=2027,1+Assumptions!$F$175,1)/12-1.5*Assumptions!V$202)))</f>
        <v>19185.9731586738</v>
      </c>
      <c r="W60" s="65" t="n">
        <f aca="false">W11*(MIN(Assumptions!$D$78*IF(Assumptions!W$191=2027,1+Assumptions!$F$175,1)/12,Assumptions!W$202)*Assumptions!W$203+(Assumptions!W$205*MAX(0,MIN(Assumptions!$D$78*IF(Assumptions!W$191=2027,1+Assumptions!$F$175,1)/12,1.1*Assumptions!W$202)-Assumptions!W$202)+Assumptions!W$207*MAX(0,MIN(Assumptions!$D$78*IF(Assumptions!W$191=2027,1+Assumptions!$F$175,1)/12,1.5*Assumptions!W$202)-1.1*Assumptions!W$202)+Assumptions!W$209*MAX(0,Assumptions!$D$78*IF(Assumptions!W$191=2027,1+Assumptions!$F$175,1)/12-1.5*Assumptions!W$202)))</f>
        <v>19186.2154108798</v>
      </c>
      <c r="X60" s="65" t="n">
        <f aca="false">X11*(MIN(Assumptions!$D$78*IF(Assumptions!X$191=2027,1+Assumptions!$F$175,1)/12,Assumptions!X$202)*Assumptions!X$203+(Assumptions!X$205*MAX(0,MIN(Assumptions!$D$78*IF(Assumptions!X$191=2027,1+Assumptions!$F$175,1)/12,1.1*Assumptions!X$202)-Assumptions!X$202)+Assumptions!X$207*MAX(0,MIN(Assumptions!$D$78*IF(Assumptions!X$191=2027,1+Assumptions!$F$175,1)/12,1.5*Assumptions!X$202)-1.1*Assumptions!X$202)+Assumptions!X$209*MAX(0,Assumptions!$D$78*IF(Assumptions!X$191=2027,1+Assumptions!$F$175,1)/12-1.5*Assumptions!X$202)))</f>
        <v>19186.3341143045</v>
      </c>
      <c r="Y60" s="65" t="n">
        <f aca="false">Y11*(MIN(Assumptions!$D$78*IF(Assumptions!Y$191=2027,1+Assumptions!$F$175,1)/12,Assumptions!Y$202)*Assumptions!Y$203+(Assumptions!Y$205*MAX(0,MIN(Assumptions!$D$78*IF(Assumptions!Y$191=2027,1+Assumptions!$F$175,1)/12,1.1*Assumptions!Y$202)-Assumptions!Y$202)+Assumptions!Y$207*MAX(0,MIN(Assumptions!$D$78*IF(Assumptions!Y$191=2027,1+Assumptions!$F$175,1)/12,1.5*Assumptions!Y$202)-1.1*Assumptions!Y$202)+Assumptions!Y$209*MAX(0,Assumptions!$D$78*IF(Assumptions!Y$191=2027,1+Assumptions!$F$175,1)/12-1.5*Assumptions!Y$202)))</f>
        <v>19186.3305047482</v>
      </c>
      <c r="Z60" s="65" t="n">
        <f aca="false">Z11*(MIN(Assumptions!$D$78*IF(Assumptions!Z$191=2027,1+Assumptions!$F$175,1)/12,Assumptions!Z$202)*Assumptions!Z$203+(Assumptions!Z$205*MAX(0,MIN(Assumptions!$D$78*IF(Assumptions!Z$191=2027,1+Assumptions!$F$175,1)/12,1.1*Assumptions!Z$202)-Assumptions!Z$202)+Assumptions!Z$207*MAX(0,MIN(Assumptions!$D$78*IF(Assumptions!Z$191=2027,1+Assumptions!$F$175,1)/12,1.5*Assumptions!Z$202)-1.1*Assumptions!Z$202)+Assumptions!Z$209*MAX(0,Assumptions!$D$78*IF(Assumptions!Z$191=2027,1+Assumptions!$F$175,1)/12-1.5*Assumptions!Z$202)))</f>
        <v>19186.3293538095</v>
      </c>
      <c r="AA60" s="65" t="n">
        <f aca="false">AA11*(MIN(Assumptions!$D$78*IF(Assumptions!AA$191=2027,1+Assumptions!$F$175,1)/12,Assumptions!AA$202)*Assumptions!AA$203+(Assumptions!AA$205*MAX(0,MIN(Assumptions!$D$78*IF(Assumptions!AA$191=2027,1+Assumptions!$F$175,1)/12,1.1*Assumptions!AA$202)-Assumptions!AA$202)+Assumptions!AA$207*MAX(0,MIN(Assumptions!$D$78*IF(Assumptions!AA$191=2027,1+Assumptions!$F$175,1)/12,1.5*Assumptions!AA$202)-1.1*Assumptions!AA$202)+Assumptions!AA$209*MAX(0,Assumptions!$D$78*IF(Assumptions!AA$191=2027,1+Assumptions!$F$175,1)/12-1.5*Assumptions!AA$202)))</f>
        <v>19186.3294014144</v>
      </c>
      <c r="AB60" s="65" t="n">
        <f aca="false">AB11*(MIN(Assumptions!$D$78*IF(Assumptions!AB$191=2027,1+Assumptions!$F$175,1)/12,Assumptions!AB$202)*Assumptions!AB$203+(Assumptions!AB$205*MAX(0,MIN(Assumptions!$D$78*IF(Assumptions!AB$191=2027,1+Assumptions!$F$175,1)/12,1.1*Assumptions!AB$202)-Assumptions!AB$202)+Assumptions!AB$207*MAX(0,MIN(Assumptions!$D$78*IF(Assumptions!AB$191=2027,1+Assumptions!$F$175,1)/12,1.5*Assumptions!AB$202)-1.1*Assumptions!AB$202)+Assumptions!AB$209*MAX(0,Assumptions!$D$78*IF(Assumptions!AB$191=2027,1+Assumptions!$F$175,1)/12-1.5*Assumptions!AB$202)))</f>
        <v>19186.3294124478</v>
      </c>
    </row>
    <row r="61" customFormat="false" ht="15" hidden="false" customHeight="false" outlineLevel="0" collapsed="false">
      <c r="A61" s="28" t="s">
        <v>1110</v>
      </c>
      <c r="B61" s="63" t="s">
        <v>1107</v>
      </c>
      <c r="C61" s="64" t="n">
        <f aca="false">SUM(E61:P61)</f>
        <v>54470.8842335825</v>
      </c>
      <c r="D61" s="64" t="n">
        <f aca="false">SUM(Q61:AB61)</f>
        <v>67637.8993394074</v>
      </c>
      <c r="E61" s="65" t="n">
        <f aca="false">E12*(MIN(Assumptions!$D$79*IF(Assumptions!E$191=2027,1+Assumptions!$F$175,1)/12,Assumptions!E$202)*Assumptions!E$203+(Assumptions!E$205*MAX(0,MIN(Assumptions!$D$79*IF(Assumptions!E$191=2027,1+Assumptions!$F$175,1)/12,1.1*Assumptions!E$202)-Assumptions!E$202)+Assumptions!E$207*MAX(0,MIN(Assumptions!$D$79*IF(Assumptions!E$191=2027,1+Assumptions!$F$175,1)/12,1.5*Assumptions!E$202)-1.1*Assumptions!E$202)+Assumptions!E$209*MAX(0,Assumptions!$D$79*IF(Assumptions!E$191=2027,1+Assumptions!$F$175,1)/12-1.5*Assumptions!E$202)))</f>
        <v>4152.70833333333</v>
      </c>
      <c r="F61" s="65" t="n">
        <f aca="false">F12*(MIN(Assumptions!$D$79*IF(Assumptions!F$191=2027,1+Assumptions!$F$175,1)/12,Assumptions!F$202)*Assumptions!F$203+(Assumptions!F$205*MAX(0,MIN(Assumptions!$D$79*IF(Assumptions!F$191=2027,1+Assumptions!$F$175,1)/12,1.1*Assumptions!F$202)-Assumptions!F$202)+Assumptions!F$207*MAX(0,MIN(Assumptions!$D$79*IF(Assumptions!F$191=2027,1+Assumptions!$F$175,1)/12,1.5*Assumptions!F$202)-1.1*Assumptions!F$202)+Assumptions!F$209*MAX(0,Assumptions!$D$79*IF(Assumptions!F$191=2027,1+Assumptions!$F$175,1)/12-1.5*Assumptions!F$202)))</f>
        <v>4152.70833333333</v>
      </c>
      <c r="G61" s="65" t="n">
        <f aca="false">G12*(MIN(Assumptions!$D$79*IF(Assumptions!G$191=2027,1+Assumptions!$F$175,1)/12,Assumptions!G$202)*Assumptions!G$203+(Assumptions!G$205*MAX(0,MIN(Assumptions!$D$79*IF(Assumptions!G$191=2027,1+Assumptions!$F$175,1)/12,1.1*Assumptions!G$202)-Assumptions!G$202)+Assumptions!G$207*MAX(0,MIN(Assumptions!$D$79*IF(Assumptions!G$191=2027,1+Assumptions!$F$175,1)/12,1.5*Assumptions!G$202)-1.1*Assumptions!G$202)+Assumptions!G$209*MAX(0,Assumptions!$D$79*IF(Assumptions!G$191=2027,1+Assumptions!$F$175,1)/12-1.5*Assumptions!G$202)))</f>
        <v>4152.70833333333</v>
      </c>
      <c r="H61" s="65" t="n">
        <f aca="false">H12*(MIN(Assumptions!$D$79*IF(Assumptions!H$191=2027,1+Assumptions!$F$175,1)/12,Assumptions!H$202)*Assumptions!H$203+(Assumptions!H$205*MAX(0,MIN(Assumptions!$D$79*IF(Assumptions!H$191=2027,1+Assumptions!$F$175,1)/12,1.1*Assumptions!H$202)-Assumptions!H$202)+Assumptions!H$207*MAX(0,MIN(Assumptions!$D$79*IF(Assumptions!H$191=2027,1+Assumptions!$F$175,1)/12,1.5*Assumptions!H$202)-1.1*Assumptions!H$202)+Assumptions!H$209*MAX(0,Assumptions!$D$79*IF(Assumptions!H$191=2027,1+Assumptions!$F$175,1)/12-1.5*Assumptions!H$202)))</f>
        <v>4152.70833333333</v>
      </c>
      <c r="I61" s="65" t="n">
        <f aca="false">I12*(MIN(Assumptions!$D$79*IF(Assumptions!I$191=2027,1+Assumptions!$F$175,1)/12,Assumptions!I$202)*Assumptions!I$203+(Assumptions!I$205*MAX(0,MIN(Assumptions!$D$79*IF(Assumptions!I$191=2027,1+Assumptions!$F$175,1)/12,1.1*Assumptions!I$202)-Assumptions!I$202)+Assumptions!I$207*MAX(0,MIN(Assumptions!$D$79*IF(Assumptions!I$191=2027,1+Assumptions!$F$175,1)/12,1.5*Assumptions!I$202)-1.1*Assumptions!I$202)+Assumptions!I$209*MAX(0,Assumptions!$D$79*IF(Assumptions!I$191=2027,1+Assumptions!$F$175,1)/12-1.5*Assumptions!I$202)))</f>
        <v>4152.70833333333</v>
      </c>
      <c r="J61" s="65" t="n">
        <f aca="false">J12*(MIN(Assumptions!$D$79*IF(Assumptions!J$191=2027,1+Assumptions!$F$175,1)/12,Assumptions!J$202)*Assumptions!J$203+(Assumptions!J$205*MAX(0,MIN(Assumptions!$D$79*IF(Assumptions!J$191=2027,1+Assumptions!$F$175,1)/12,1.1*Assumptions!J$202)-Assumptions!J$202)+Assumptions!J$207*MAX(0,MIN(Assumptions!$D$79*IF(Assumptions!J$191=2027,1+Assumptions!$F$175,1)/12,1.5*Assumptions!J$202)-1.1*Assumptions!J$202)+Assumptions!J$209*MAX(0,Assumptions!$D$79*IF(Assumptions!J$191=2027,1+Assumptions!$F$175,1)/12-1.5*Assumptions!J$202)))</f>
        <v>4152.70833333333</v>
      </c>
      <c r="K61" s="65" t="n">
        <f aca="false">K12*(MIN(Assumptions!$D$79*IF(Assumptions!K$191=2027,1+Assumptions!$F$175,1)/12,Assumptions!K$202)*Assumptions!K$203+(Assumptions!K$205*MAX(0,MIN(Assumptions!$D$79*IF(Assumptions!K$191=2027,1+Assumptions!$F$175,1)/12,1.1*Assumptions!K$202)-Assumptions!K$202)+Assumptions!K$207*MAX(0,MIN(Assumptions!$D$79*IF(Assumptions!K$191=2027,1+Assumptions!$F$175,1)/12,1.5*Assumptions!K$202)-1.1*Assumptions!K$202)+Assumptions!K$209*MAX(0,Assumptions!$D$79*IF(Assumptions!K$191=2027,1+Assumptions!$F$175,1)/12-1.5*Assumptions!K$202)))</f>
        <v>4983.25</v>
      </c>
      <c r="L61" s="65" t="n">
        <f aca="false">L12*(MIN(Assumptions!$D$79*IF(Assumptions!L$191=2027,1+Assumptions!$F$175,1)/12,Assumptions!L$202)*Assumptions!L$203+(Assumptions!L$205*MAX(0,MIN(Assumptions!$D$79*IF(Assumptions!L$191=2027,1+Assumptions!$F$175,1)/12,1.1*Assumptions!L$202)-Assumptions!L$202)+Assumptions!L$207*MAX(0,MIN(Assumptions!$D$79*IF(Assumptions!L$191=2027,1+Assumptions!$F$175,1)/12,1.5*Assumptions!L$202)-1.1*Assumptions!L$202)+Assumptions!L$209*MAX(0,Assumptions!$D$79*IF(Assumptions!L$191=2027,1+Assumptions!$F$175,1)/12-1.5*Assumptions!L$202)))</f>
        <v>4983.25</v>
      </c>
      <c r="M61" s="65" t="n">
        <f aca="false">M12*(MIN(Assumptions!$D$79*IF(Assumptions!M$191=2027,1+Assumptions!$F$175,1)/12,Assumptions!M$202)*Assumptions!M$203+(Assumptions!M$205*MAX(0,MIN(Assumptions!$D$79*IF(Assumptions!M$191=2027,1+Assumptions!$F$175,1)/12,1.1*Assumptions!M$202)-Assumptions!M$202)+Assumptions!M$207*MAX(0,MIN(Assumptions!$D$79*IF(Assumptions!M$191=2027,1+Assumptions!$F$175,1)/12,1.5*Assumptions!M$202)-1.1*Assumptions!M$202)+Assumptions!M$209*MAX(0,Assumptions!$D$79*IF(Assumptions!M$191=2027,1+Assumptions!$F$175,1)/12-1.5*Assumptions!M$202)))</f>
        <v>4933.4175</v>
      </c>
      <c r="N61" s="65" t="n">
        <f aca="false">N12*(MIN(Assumptions!$D$79*IF(Assumptions!N$191=2027,1+Assumptions!$F$175,1)/12,Assumptions!N$202)*Assumptions!N$203+(Assumptions!N$205*MAX(0,MIN(Assumptions!$D$79*IF(Assumptions!N$191=2027,1+Assumptions!$F$175,1)/12,1.1*Assumptions!N$202)-Assumptions!N$202)+Assumptions!N$207*MAX(0,MIN(Assumptions!$D$79*IF(Assumptions!N$191=2027,1+Assumptions!$F$175,1)/12,1.5*Assumptions!N$202)-1.1*Assumptions!N$202)+Assumptions!N$209*MAX(0,Assumptions!$D$79*IF(Assumptions!N$191=2027,1+Assumptions!$F$175,1)/12-1.5*Assumptions!N$202)))</f>
        <v>4884.083325</v>
      </c>
      <c r="O61" s="65" t="n">
        <f aca="false">O12*(MIN(Assumptions!$D$79*IF(Assumptions!O$191=2027,1+Assumptions!$F$175,1)/12,Assumptions!O$202)*Assumptions!O$203+(Assumptions!O$205*MAX(0,MIN(Assumptions!$D$79*IF(Assumptions!O$191=2027,1+Assumptions!$F$175,1)/12,1.1*Assumptions!O$202)-Assumptions!O$202)+Assumptions!O$207*MAX(0,MIN(Assumptions!$D$79*IF(Assumptions!O$191=2027,1+Assumptions!$F$175,1)/12,1.5*Assumptions!O$202)-1.1*Assumptions!O$202)+Assumptions!O$209*MAX(0,Assumptions!$D$79*IF(Assumptions!O$191=2027,1+Assumptions!$F$175,1)/12-1.5*Assumptions!O$202)))</f>
        <v>4885.07499175</v>
      </c>
      <c r="P61" s="65" t="n">
        <f aca="false">P12*(MIN(Assumptions!$D$79*IF(Assumptions!P$191=2027,1+Assumptions!$F$175,1)/12,Assumptions!P$202)*Assumptions!P$203+(Assumptions!P$205*MAX(0,MIN(Assumptions!$D$79*IF(Assumptions!P$191=2027,1+Assumptions!$F$175,1)/12,1.1*Assumptions!P$202)-Assumptions!P$202)+Assumptions!P$207*MAX(0,MIN(Assumptions!$D$79*IF(Assumptions!P$191=2027,1+Assumptions!$F$175,1)/12,1.5*Assumptions!P$202)-1.1*Assumptions!P$202)+Assumptions!P$209*MAX(0,Assumptions!$D$79*IF(Assumptions!P$191=2027,1+Assumptions!$F$175,1)/12-1.5*Assumptions!P$202)))</f>
        <v>4885.5584168325</v>
      </c>
      <c r="Q61" s="65" t="n">
        <f aca="false">Q12*(MIN(Assumptions!$D$79*IF(Assumptions!Q$191=2027,1+Assumptions!$F$175,1)/12,Assumptions!Q$202)*Assumptions!Q$203+(Assumptions!Q$205*MAX(0,MIN(Assumptions!$D$79*IF(Assumptions!Q$191=2027,1+Assumptions!$F$175,1)/12,1.1*Assumptions!Q$202)-Assumptions!Q$202)+Assumptions!Q$207*MAX(0,MIN(Assumptions!$D$79*IF(Assumptions!Q$191=2027,1+Assumptions!$F$175,1)/12,1.5*Assumptions!Q$202)-1.1*Assumptions!Q$202)+Assumptions!Q$209*MAX(0,Assumptions!$D$79*IF(Assumptions!Q$191=2027,1+Assumptions!$F$175,1)/12-1.5*Assumptions!Q$202)))</f>
        <v>5069.12005862359</v>
      </c>
      <c r="R61" s="65" t="n">
        <f aca="false">R12*(MIN(Assumptions!$D$79*IF(Assumptions!R$191=2027,1+Assumptions!$F$175,1)/12,Assumptions!R$202)*Assumptions!R$203+(Assumptions!R$205*MAX(0,MIN(Assumptions!$D$79*IF(Assumptions!R$191=2027,1+Assumptions!$F$175,1)/12,1.1*Assumptions!R$202)-Assumptions!R$202)+Assumptions!R$207*MAX(0,MIN(Assumptions!$D$79*IF(Assumptions!R$191=2027,1+Assumptions!$F$175,1)/12,1.5*Assumptions!R$202)-1.1*Assumptions!R$202)+Assumptions!R$209*MAX(0,Assumptions!$D$79*IF(Assumptions!R$191=2027,1+Assumptions!$F$175,1)/12-1.5*Assumptions!R$202)))</f>
        <v>5069.11519577562</v>
      </c>
      <c r="S61" s="65" t="n">
        <f aca="false">S12*(MIN(Assumptions!$D$79*IF(Assumptions!S$191=2027,1+Assumptions!$F$175,1)/12,Assumptions!S$202)*Assumptions!S$203+(Assumptions!S$205*MAX(0,MIN(Assumptions!$D$79*IF(Assumptions!S$191=2027,1+Assumptions!$F$175,1)/12,1.1*Assumptions!S$202)-Assumptions!S$202)+Assumptions!S$207*MAX(0,MIN(Assumptions!$D$79*IF(Assumptions!S$191=2027,1+Assumptions!$F$175,1)/12,1.5*Assumptions!S$202)-1.1*Assumptions!S$202)+Assumptions!S$209*MAX(0,Assumptions!$D$79*IF(Assumptions!S$191=2027,1+Assumptions!$F$175,1)/12-1.5*Assumptions!S$202)))</f>
        <v>5069.11539745601</v>
      </c>
      <c r="T61" s="65" t="n">
        <f aca="false">T12*(MIN(Assumptions!$D$79*IF(Assumptions!T$191=2027,1+Assumptions!$F$175,1)/12,Assumptions!T$202)*Assumptions!T$203+(Assumptions!T$205*MAX(0,MIN(Assumptions!$D$79*IF(Assumptions!T$191=2027,1+Assumptions!$F$175,1)/12,1.1*Assumptions!T$202)-Assumptions!T$202)+Assumptions!T$207*MAX(0,MIN(Assumptions!$D$79*IF(Assumptions!T$191=2027,1+Assumptions!$F$175,1)/12,1.5*Assumptions!T$202)-1.1*Assumptions!T$202)+Assumptions!T$209*MAX(0,Assumptions!$D$79*IF(Assumptions!T$191=2027,1+Assumptions!$F$175,1)/12-1.5*Assumptions!T$202)))</f>
        <v>5069.11544406768</v>
      </c>
      <c r="U61" s="65" t="n">
        <f aca="false">U12*(MIN(Assumptions!$D$79*IF(Assumptions!U$191=2027,1+Assumptions!$F$175,1)/12,Assumptions!U$202)*Assumptions!U$203+(Assumptions!U$205*MAX(0,MIN(Assumptions!$D$79*IF(Assumptions!U$191=2027,1+Assumptions!$F$175,1)/12,1.1*Assumptions!U$202)-Assumptions!U$202)+Assumptions!U$207*MAX(0,MIN(Assumptions!$D$79*IF(Assumptions!U$191=2027,1+Assumptions!$F$175,1)/12,1.5*Assumptions!U$202)-1.1*Assumptions!U$202)+Assumptions!U$209*MAX(0,Assumptions!$D$79*IF(Assumptions!U$191=2027,1+Assumptions!$F$175,1)/12-1.5*Assumptions!U$202)))</f>
        <v>5069.11544158476</v>
      </c>
      <c r="V61" s="65" t="n">
        <f aca="false">V12*(MIN(Assumptions!$D$79*IF(Assumptions!V$191=2027,1+Assumptions!$F$175,1)/12,Assumptions!V$202)*Assumptions!V$203+(Assumptions!V$205*MAX(0,MIN(Assumptions!$D$79*IF(Assumptions!V$191=2027,1+Assumptions!$F$175,1)/12,1.1*Assumptions!V$202)-Assumptions!V$202)+Assumptions!V$207*MAX(0,MIN(Assumptions!$D$79*IF(Assumptions!V$191=2027,1+Assumptions!$F$175,1)/12,1.5*Assumptions!V$202)-1.1*Assumptions!V$202)+Assumptions!V$209*MAX(0,Assumptions!$D$79*IF(Assumptions!V$191=2027,1+Assumptions!$F$175,1)/12-1.5*Assumptions!V$202)))</f>
        <v>5069.11544114347</v>
      </c>
      <c r="W61" s="65" t="n">
        <f aca="false">W12*(MIN(Assumptions!$D$79*IF(Assumptions!W$191=2027,1+Assumptions!$F$175,1)/12,Assumptions!W$202)*Assumptions!W$203+(Assumptions!W$205*MAX(0,MIN(Assumptions!$D$79*IF(Assumptions!W$191=2027,1+Assumptions!$F$175,1)/12,1.1*Assumptions!W$202)-Assumptions!W$202)+Assumptions!W$207*MAX(0,MIN(Assumptions!$D$79*IF(Assumptions!W$191=2027,1+Assumptions!$F$175,1)/12,1.5*Assumptions!W$202)-1.1*Assumptions!W$202)+Assumptions!W$209*MAX(0,Assumptions!$D$79*IF(Assumptions!W$191=2027,1+Assumptions!$F$175,1)/12-1.5*Assumptions!W$202)))</f>
        <v>5069.11544117272</v>
      </c>
      <c r="X61" s="65" t="n">
        <f aca="false">X12*(MIN(Assumptions!$D$79*IF(Assumptions!X$191=2027,1+Assumptions!$F$175,1)/12,Assumptions!X$202)*Assumptions!X$203+(Assumptions!X$205*MAX(0,MIN(Assumptions!$D$79*IF(Assumptions!X$191=2027,1+Assumptions!$F$175,1)/12,1.1*Assumptions!X$202)-Assumptions!X$202)+Assumptions!X$207*MAX(0,MIN(Assumptions!$D$79*IF(Assumptions!X$191=2027,1+Assumptions!$F$175,1)/12,1.5*Assumptions!X$202)-1.1*Assumptions!X$202)+Assumptions!X$209*MAX(0,Assumptions!$D$79*IF(Assumptions!X$191=2027,1+Assumptions!$F$175,1)/12-1.5*Assumptions!X$202)))</f>
        <v>5069.11544117684</v>
      </c>
      <c r="Y61" s="65" t="n">
        <f aca="false">Y12*(MIN(Assumptions!$D$79*IF(Assumptions!Y$191=2027,1+Assumptions!$F$175,1)/12,Assumptions!Y$202)*Assumptions!Y$203+(Assumptions!Y$205*MAX(0,MIN(Assumptions!$D$79*IF(Assumptions!Y$191=2027,1+Assumptions!$F$175,1)/12,1.1*Assumptions!Y$202)-Assumptions!Y$202)+Assumptions!Y$207*MAX(0,MIN(Assumptions!$D$79*IF(Assumptions!Y$191=2027,1+Assumptions!$F$175,1)/12,1.5*Assumptions!Y$202)-1.1*Assumptions!Y$202)+Assumptions!Y$209*MAX(0,Assumptions!$D$79*IF(Assumptions!Y$191=2027,1+Assumptions!$F$175,1)/12-1.5*Assumptions!Y$202)))</f>
        <v>6792.6146911765</v>
      </c>
      <c r="Z61" s="65" t="n">
        <f aca="false">Z12*(MIN(Assumptions!$D$79*IF(Assumptions!Z$191=2027,1+Assumptions!$F$175,1)/12,Assumptions!Z$202)*Assumptions!Z$203+(Assumptions!Z$205*MAX(0,MIN(Assumptions!$D$79*IF(Assumptions!Z$191=2027,1+Assumptions!$F$175,1)/12,1.1*Assumptions!Z$202)-Assumptions!Z$202)+Assumptions!Z$207*MAX(0,MIN(Assumptions!$D$79*IF(Assumptions!Z$191=2027,1+Assumptions!$F$175,1)/12,1.5*Assumptions!Z$202)-1.1*Assumptions!Z$202)+Assumptions!Z$209*MAX(0,Assumptions!$D$79*IF(Assumptions!Z$191=2027,1+Assumptions!$F$175,1)/12-1.5*Assumptions!Z$202)))</f>
        <v>6775.37969867647</v>
      </c>
      <c r="AA61" s="65" t="n">
        <f aca="false">AA12*(MIN(Assumptions!$D$79*IF(Assumptions!AA$191=2027,1+Assumptions!$F$175,1)/12,Assumptions!AA$202)*Assumptions!AA$203+(Assumptions!AA$205*MAX(0,MIN(Assumptions!$D$79*IF(Assumptions!AA$191=2027,1+Assumptions!$F$175,1)/12,1.1*Assumptions!AA$202)-Assumptions!AA$202)+Assumptions!AA$207*MAX(0,MIN(Assumptions!$D$79*IF(Assumptions!AA$191=2027,1+Assumptions!$F$175,1)/12,1.5*Assumptions!AA$202)-1.1*Assumptions!AA$202)+Assumptions!AA$209*MAX(0,Assumptions!$D$79*IF(Assumptions!AA$191=2027,1+Assumptions!$F$175,1)/12-1.5*Assumptions!AA$202)))</f>
        <v>6758.31705610147</v>
      </c>
      <c r="AB61" s="65" t="n">
        <f aca="false">AB12*(MIN(Assumptions!$D$79*IF(Assumptions!AB$191=2027,1+Assumptions!$F$175,1)/12,Assumptions!AB$202)*Assumptions!AB$203+(Assumptions!AB$205*MAX(0,MIN(Assumptions!$D$79*IF(Assumptions!AB$191=2027,1+Assumptions!$F$175,1)/12,1.1*Assumptions!AB$202)-Assumptions!AB$202)+Assumptions!AB$207*MAX(0,MIN(Assumptions!$D$79*IF(Assumptions!AB$191=2027,1+Assumptions!$F$175,1)/12,1.5*Assumptions!AB$202)-1.1*Assumptions!AB$202)+Assumptions!AB$209*MAX(0,Assumptions!$D$79*IF(Assumptions!AB$191=2027,1+Assumptions!$F$175,1)/12-1.5*Assumptions!AB$202)))</f>
        <v>6758.66003245222</v>
      </c>
    </row>
    <row r="62" customFormat="false" ht="15" hidden="false" customHeight="false" outlineLevel="0" collapsed="false">
      <c r="A62" s="28" t="s">
        <v>1111</v>
      </c>
      <c r="B62" s="63" t="s">
        <v>1107</v>
      </c>
      <c r="C62" s="64" t="n">
        <f aca="false">SUM(E62:P62)</f>
        <v>76788.4703145737</v>
      </c>
      <c r="D62" s="64" t="n">
        <f aca="false">SUM(Q62:AB62)</f>
        <v>98473.9351340643</v>
      </c>
      <c r="E62" s="65" t="n">
        <f aca="false">E13*(MIN(Assumptions!$D$80*IF(Assumptions!E$191=2027,1+Assumptions!$F$175,1)/12,Assumptions!E$202)*Assumptions!E$203+(Assumptions!E$205*MAX(0,MIN(Assumptions!$D$80*IF(Assumptions!E$191=2027,1+Assumptions!$F$175,1)/12,1.1*Assumptions!E$202)-Assumptions!E$202)+Assumptions!E$207*MAX(0,MIN(Assumptions!$D$80*IF(Assumptions!E$191=2027,1+Assumptions!$F$175,1)/12,1.5*Assumptions!E$202)-1.1*Assumptions!E$202)+Assumptions!E$209*MAX(0,Assumptions!$D$80*IF(Assumptions!E$191=2027,1+Assumptions!$F$175,1)/12-1.5*Assumptions!E$202)))</f>
        <v>6430</v>
      </c>
      <c r="F62" s="65" t="n">
        <f aca="false">F13*(MIN(Assumptions!$D$80*IF(Assumptions!F$191=2027,1+Assumptions!$F$175,1)/12,Assumptions!F$202)*Assumptions!F$203+(Assumptions!F$205*MAX(0,MIN(Assumptions!$D$80*IF(Assumptions!F$191=2027,1+Assumptions!$F$175,1)/12,1.1*Assumptions!F$202)-Assumptions!F$202)+Assumptions!F$207*MAX(0,MIN(Assumptions!$D$80*IF(Assumptions!F$191=2027,1+Assumptions!$F$175,1)/12,1.5*Assumptions!F$202)-1.1*Assumptions!F$202)+Assumptions!F$209*MAX(0,Assumptions!$D$80*IF(Assumptions!F$191=2027,1+Assumptions!$F$175,1)/12-1.5*Assumptions!F$202)))</f>
        <v>6430</v>
      </c>
      <c r="G62" s="65" t="n">
        <f aca="false">G13*(MIN(Assumptions!$D$80*IF(Assumptions!G$191=2027,1+Assumptions!$F$175,1)/12,Assumptions!G$202)*Assumptions!G$203+(Assumptions!G$205*MAX(0,MIN(Assumptions!$D$80*IF(Assumptions!G$191=2027,1+Assumptions!$F$175,1)/12,1.1*Assumptions!G$202)-Assumptions!G$202)+Assumptions!G$207*MAX(0,MIN(Assumptions!$D$80*IF(Assumptions!G$191=2027,1+Assumptions!$F$175,1)/12,1.5*Assumptions!G$202)-1.1*Assumptions!G$202)+Assumptions!G$209*MAX(0,Assumptions!$D$80*IF(Assumptions!G$191=2027,1+Assumptions!$F$175,1)/12-1.5*Assumptions!G$202)))</f>
        <v>6430</v>
      </c>
      <c r="H62" s="65" t="n">
        <f aca="false">H13*(MIN(Assumptions!$D$80*IF(Assumptions!H$191=2027,1+Assumptions!$F$175,1)/12,Assumptions!H$202)*Assumptions!H$203+(Assumptions!H$205*MAX(0,MIN(Assumptions!$D$80*IF(Assumptions!H$191=2027,1+Assumptions!$F$175,1)/12,1.1*Assumptions!H$202)-Assumptions!H$202)+Assumptions!H$207*MAX(0,MIN(Assumptions!$D$80*IF(Assumptions!H$191=2027,1+Assumptions!$F$175,1)/12,1.5*Assumptions!H$202)-1.1*Assumptions!H$202)+Assumptions!H$209*MAX(0,Assumptions!$D$80*IF(Assumptions!H$191=2027,1+Assumptions!$F$175,1)/12-1.5*Assumptions!H$202)))</f>
        <v>6430</v>
      </c>
      <c r="I62" s="65" t="n">
        <f aca="false">I13*(MIN(Assumptions!$D$80*IF(Assumptions!I$191=2027,1+Assumptions!$F$175,1)/12,Assumptions!I$202)*Assumptions!I$203+(Assumptions!I$205*MAX(0,MIN(Assumptions!$D$80*IF(Assumptions!I$191=2027,1+Assumptions!$F$175,1)/12,1.1*Assumptions!I$202)-Assumptions!I$202)+Assumptions!I$207*MAX(0,MIN(Assumptions!$D$80*IF(Assumptions!I$191=2027,1+Assumptions!$F$175,1)/12,1.5*Assumptions!I$202)-1.1*Assumptions!I$202)+Assumptions!I$209*MAX(0,Assumptions!$D$80*IF(Assumptions!I$191=2027,1+Assumptions!$F$175,1)/12-1.5*Assumptions!I$202)))</f>
        <v>6430</v>
      </c>
      <c r="J62" s="65" t="n">
        <f aca="false">J13*(MIN(Assumptions!$D$80*IF(Assumptions!J$191=2027,1+Assumptions!$F$175,1)/12,Assumptions!J$202)*Assumptions!J$203+(Assumptions!J$205*MAX(0,MIN(Assumptions!$D$80*IF(Assumptions!J$191=2027,1+Assumptions!$F$175,1)/12,1.1*Assumptions!J$202)-Assumptions!J$202)+Assumptions!J$207*MAX(0,MIN(Assumptions!$D$80*IF(Assumptions!J$191=2027,1+Assumptions!$F$175,1)/12,1.5*Assumptions!J$202)-1.1*Assumptions!J$202)+Assumptions!J$209*MAX(0,Assumptions!$D$80*IF(Assumptions!J$191=2027,1+Assumptions!$F$175,1)/12-1.5*Assumptions!J$202)))</f>
        <v>6430</v>
      </c>
      <c r="K62" s="65" t="n">
        <f aca="false">K13*(MIN(Assumptions!$D$80*IF(Assumptions!K$191=2027,1+Assumptions!$F$175,1)/12,Assumptions!K$202)*Assumptions!K$203+(Assumptions!K$205*MAX(0,MIN(Assumptions!$D$80*IF(Assumptions!K$191=2027,1+Assumptions!$F$175,1)/12,1.1*Assumptions!K$202)-Assumptions!K$202)+Assumptions!K$207*MAX(0,MIN(Assumptions!$D$80*IF(Assumptions!K$191=2027,1+Assumptions!$F$175,1)/12,1.5*Assumptions!K$202)-1.1*Assumptions!K$202)+Assumptions!K$209*MAX(0,Assumptions!$D$80*IF(Assumptions!K$191=2027,1+Assumptions!$F$175,1)/12-1.5*Assumptions!K$202)))</f>
        <v>6430</v>
      </c>
      <c r="L62" s="65" t="n">
        <f aca="false">L13*(MIN(Assumptions!$D$80*IF(Assumptions!L$191=2027,1+Assumptions!$F$175,1)/12,Assumptions!L$202)*Assumptions!L$203+(Assumptions!L$205*MAX(0,MIN(Assumptions!$D$80*IF(Assumptions!L$191=2027,1+Assumptions!$F$175,1)/12,1.1*Assumptions!L$202)-Assumptions!L$202)+Assumptions!L$207*MAX(0,MIN(Assumptions!$D$80*IF(Assumptions!L$191=2027,1+Assumptions!$F$175,1)/12,1.5*Assumptions!L$202)-1.1*Assumptions!L$202)+Assumptions!L$209*MAX(0,Assumptions!$D$80*IF(Assumptions!L$191=2027,1+Assumptions!$F$175,1)/12-1.5*Assumptions!L$202)))</f>
        <v>6430</v>
      </c>
      <c r="M62" s="65" t="n">
        <f aca="false">M13*(MIN(Assumptions!$D$80*IF(Assumptions!M$191=2027,1+Assumptions!$F$175,1)/12,Assumptions!M$202)*Assumptions!M$203+(Assumptions!M$205*MAX(0,MIN(Assumptions!$D$80*IF(Assumptions!M$191=2027,1+Assumptions!$F$175,1)/12,1.1*Assumptions!M$202)-Assumptions!M$202)+Assumptions!M$207*MAX(0,MIN(Assumptions!$D$80*IF(Assumptions!M$191=2027,1+Assumptions!$F$175,1)/12,1.5*Assumptions!M$202)-1.1*Assumptions!M$202)+Assumptions!M$209*MAX(0,Assumptions!$D$80*IF(Assumptions!M$191=2027,1+Assumptions!$F$175,1)/12-1.5*Assumptions!M$202)))</f>
        <v>6376.41666666667</v>
      </c>
      <c r="N62" s="65" t="n">
        <f aca="false">N13*(MIN(Assumptions!$D$80*IF(Assumptions!N$191=2027,1+Assumptions!$F$175,1)/12,Assumptions!N$202)*Assumptions!N$203+(Assumptions!N$205*MAX(0,MIN(Assumptions!$D$80*IF(Assumptions!N$191=2027,1+Assumptions!$F$175,1)/12,1.1*Assumptions!N$202)-Assumptions!N$202)+Assumptions!N$207*MAX(0,MIN(Assumptions!$D$80*IF(Assumptions!N$191=2027,1+Assumptions!$F$175,1)/12,1.5*Assumptions!N$202)-1.1*Assumptions!N$202)+Assumptions!N$209*MAX(0,Assumptions!$D$80*IF(Assumptions!N$191=2027,1+Assumptions!$F$175,1)/12-1.5*Assumptions!N$202)))</f>
        <v>6323.27986111111</v>
      </c>
      <c r="O62" s="65" t="n">
        <f aca="false">O13*(MIN(Assumptions!$D$80*IF(Assumptions!O$191=2027,1+Assumptions!$F$175,1)/12,Assumptions!O$202)*Assumptions!O$203+(Assumptions!O$205*MAX(0,MIN(Assumptions!$D$80*IF(Assumptions!O$191=2027,1+Assumptions!$F$175,1)/12,1.1*Assumptions!O$202)-Assumptions!O$202)+Assumptions!O$207*MAX(0,MIN(Assumptions!$D$80*IF(Assumptions!O$191=2027,1+Assumptions!$F$175,1)/12,1.5*Assumptions!O$202)-1.1*Assumptions!O$202)+Assumptions!O$209*MAX(0,Assumptions!$D$80*IF(Assumptions!O$191=2027,1+Assumptions!$F$175,1)/12-1.5*Assumptions!O$202)))</f>
        <v>6324.16919560185</v>
      </c>
      <c r="P62" s="65" t="n">
        <f aca="false">P13*(MIN(Assumptions!$D$80*IF(Assumptions!P$191=2027,1+Assumptions!$F$175,1)/12,Assumptions!P$202)*Assumptions!P$203+(Assumptions!P$205*MAX(0,MIN(Assumptions!$D$80*IF(Assumptions!P$191=2027,1+Assumptions!$F$175,1)/12,1.1*Assumptions!P$202)-Assumptions!P$202)+Assumptions!P$207*MAX(0,MIN(Assumptions!$D$80*IF(Assumptions!P$191=2027,1+Assumptions!$F$175,1)/12,1.5*Assumptions!P$202)-1.1*Assumptions!P$202)+Assumptions!P$209*MAX(0,Assumptions!$D$80*IF(Assumptions!P$191=2027,1+Assumptions!$F$175,1)/12-1.5*Assumptions!P$202)))</f>
        <v>6324.60459119406</v>
      </c>
      <c r="Q62" s="65" t="n">
        <f aca="false">Q13*(MIN(Assumptions!$D$80*IF(Assumptions!Q$191=2027,1+Assumptions!$F$175,1)/12,Assumptions!Q$202)*Assumptions!Q$203+(Assumptions!Q$205*MAX(0,MIN(Assumptions!$D$80*IF(Assumptions!Q$191=2027,1+Assumptions!$F$175,1)/12,1.1*Assumptions!Q$202)-Assumptions!Q$202)+Assumptions!Q$207*MAX(0,MIN(Assumptions!$D$80*IF(Assumptions!Q$191=2027,1+Assumptions!$F$175,1)/12,1.5*Assumptions!Q$202)-1.1*Assumptions!Q$202)+Assumptions!Q$209*MAX(0,Assumptions!$D$80*IF(Assumptions!Q$191=2027,1+Assumptions!$F$175,1)/12-1.5*Assumptions!Q$202)))</f>
        <v>8230.14535940419</v>
      </c>
      <c r="R62" s="65" t="n">
        <f aca="false">R13*(MIN(Assumptions!$D$80*IF(Assumptions!R$191=2027,1+Assumptions!$F$175,1)/12,Assumptions!R$202)*Assumptions!R$203+(Assumptions!R$205*MAX(0,MIN(Assumptions!$D$80*IF(Assumptions!R$191=2027,1+Assumptions!$F$175,1)/12,1.1*Assumptions!R$202)-Assumptions!R$202)+Assumptions!R$207*MAX(0,MIN(Assumptions!$D$80*IF(Assumptions!R$191=2027,1+Assumptions!$F$175,1)/12,1.5*Assumptions!R$202)-1.1*Assumptions!R$202)+Assumptions!R$209*MAX(0,Assumptions!$D$80*IF(Assumptions!R$191=2027,1+Assumptions!$F$175,1)/12-1.5*Assumptions!R$202)))</f>
        <v>8216.2425027247</v>
      </c>
      <c r="S62" s="65" t="n">
        <f aca="false">S13*(MIN(Assumptions!$D$80*IF(Assumptions!S$191=2027,1+Assumptions!$F$175,1)/12,Assumptions!S$202)*Assumptions!S$203+(Assumptions!S$205*MAX(0,MIN(Assumptions!$D$80*IF(Assumptions!S$191=2027,1+Assumptions!$F$175,1)/12,1.1*Assumptions!S$202)-Assumptions!S$202)+Assumptions!S$207*MAX(0,MIN(Assumptions!$D$80*IF(Assumptions!S$191=2027,1+Assumptions!$F$175,1)/12,1.5*Assumptions!S$202)-1.1*Assumptions!S$202)+Assumptions!S$209*MAX(0,Assumptions!$D$80*IF(Assumptions!S$191=2027,1+Assumptions!$F$175,1)/12-1.5*Assumptions!S$202)))</f>
        <v>8202.45926781559</v>
      </c>
      <c r="T62" s="65" t="n">
        <f aca="false">T13*(MIN(Assumptions!$D$80*IF(Assumptions!T$191=2027,1+Assumptions!$F$175,1)/12,Assumptions!T$202)*Assumptions!T$203+(Assumptions!T$205*MAX(0,MIN(Assumptions!$D$80*IF(Assumptions!T$191=2027,1+Assumptions!$F$175,1)/12,1.1*Assumptions!T$202)-Assumptions!T$202)+Assumptions!T$207*MAX(0,MIN(Assumptions!$D$80*IF(Assumptions!T$191=2027,1+Assumptions!$F$175,1)/12,1.5*Assumptions!T$202)-1.1*Assumptions!T$202)+Assumptions!T$209*MAX(0,Assumptions!$D$80*IF(Assumptions!T$191=2027,1+Assumptions!$F$175,1)/12-1.5*Assumptions!T$202)))</f>
        <v>8202.6899852455</v>
      </c>
      <c r="U62" s="65" t="n">
        <f aca="false">U13*(MIN(Assumptions!$D$80*IF(Assumptions!U$191=2027,1+Assumptions!$F$175,1)/12,Assumptions!U$202)*Assumptions!U$203+(Assumptions!U$205*MAX(0,MIN(Assumptions!$D$80*IF(Assumptions!U$191=2027,1+Assumptions!$F$175,1)/12,1.1*Assumptions!U$202)-Assumptions!U$202)+Assumptions!U$207*MAX(0,MIN(Assumptions!$D$80*IF(Assumptions!U$191=2027,1+Assumptions!$F$175,1)/12,1.5*Assumptions!U$202)-1.1*Assumptions!U$202)+Assumptions!U$209*MAX(0,Assumptions!$D$80*IF(Assumptions!U$191=2027,1+Assumptions!$F$175,1)/12-1.5*Assumptions!U$202)))</f>
        <v>8202.80292289116</v>
      </c>
      <c r="V62" s="65" t="n">
        <f aca="false">V13*(MIN(Assumptions!$D$80*IF(Assumptions!V$191=2027,1+Assumptions!$F$175,1)/12,Assumptions!V$202)*Assumptions!V$203+(Assumptions!V$205*MAX(0,MIN(Assumptions!$D$80*IF(Assumptions!V$191=2027,1+Assumptions!$F$175,1)/12,1.1*Assumptions!V$202)-Assumptions!V$202)+Assumptions!V$207*MAX(0,MIN(Assumptions!$D$80*IF(Assumptions!V$191=2027,1+Assumptions!$F$175,1)/12,1.5*Assumptions!V$202)-1.1*Assumptions!V$202)+Assumptions!V$209*MAX(0,Assumptions!$D$80*IF(Assumptions!V$191=2027,1+Assumptions!$F$175,1)/12-1.5*Assumptions!V$202)))</f>
        <v>8202.80005909886</v>
      </c>
      <c r="W62" s="65" t="n">
        <f aca="false">W13*(MIN(Assumptions!$D$80*IF(Assumptions!W$191=2027,1+Assumptions!$F$175,1)/12,Assumptions!W$202)*Assumptions!W$203+(Assumptions!W$205*MAX(0,MIN(Assumptions!$D$80*IF(Assumptions!W$191=2027,1+Assumptions!$F$175,1)/12,1.1*Assumptions!W$202)-Assumptions!W$202)+Assumptions!W$207*MAX(0,MIN(Assumptions!$D$80*IF(Assumptions!W$191=2027,1+Assumptions!$F$175,1)/12,1.5*Assumptions!W$202)-1.1*Assumptions!W$202)+Assumptions!W$209*MAX(0,Assumptions!$D$80*IF(Assumptions!W$191=2027,1+Assumptions!$F$175,1)/12-1.5*Assumptions!W$202)))</f>
        <v>8202.79914181675</v>
      </c>
      <c r="X62" s="65" t="n">
        <f aca="false">X13*(MIN(Assumptions!$D$80*IF(Assumptions!X$191=2027,1+Assumptions!$F$175,1)/12,Assumptions!X$202)*Assumptions!X$203+(Assumptions!X$205*MAX(0,MIN(Assumptions!$D$80*IF(Assumptions!X$191=2027,1+Assumptions!$F$175,1)/12,1.1*Assumptions!X$202)-Assumptions!X$202)+Assumptions!X$207*MAX(0,MIN(Assumptions!$D$80*IF(Assumptions!X$191=2027,1+Assumptions!$F$175,1)/12,1.5*Assumptions!X$202)-1.1*Assumptions!X$202)+Assumptions!X$209*MAX(0,Assumptions!$D$80*IF(Assumptions!X$191=2027,1+Assumptions!$F$175,1)/12-1.5*Assumptions!X$202)))</f>
        <v>8202.7991733257</v>
      </c>
      <c r="Y62" s="65" t="n">
        <f aca="false">Y13*(MIN(Assumptions!$D$80*IF(Assumptions!Y$191=2027,1+Assumptions!$F$175,1)/12,Assumptions!Y$202)*Assumptions!Y$203+(Assumptions!Y$205*MAX(0,MIN(Assumptions!$D$80*IF(Assumptions!Y$191=2027,1+Assumptions!$F$175,1)/12,1.1*Assumptions!Y$202)-Assumptions!Y$202)+Assumptions!Y$207*MAX(0,MIN(Assumptions!$D$80*IF(Assumptions!Y$191=2027,1+Assumptions!$F$175,1)/12,1.5*Assumptions!Y$202)-1.1*Assumptions!Y$202)+Assumptions!Y$209*MAX(0,Assumptions!$D$80*IF(Assumptions!Y$191=2027,1+Assumptions!$F$175,1)/12-1.5*Assumptions!Y$202)))</f>
        <v>8202.79918070715</v>
      </c>
      <c r="Z62" s="65" t="n">
        <f aca="false">Z13*(MIN(Assumptions!$D$80*IF(Assumptions!Z$191=2027,1+Assumptions!$F$175,1)/12,Assumptions!Z$202)*Assumptions!Z$203+(Assumptions!Z$205*MAX(0,MIN(Assumptions!$D$80*IF(Assumptions!Z$191=2027,1+Assumptions!$F$175,1)/12,1.1*Assumptions!Z$202)-Assumptions!Z$202)+Assumptions!Z$207*MAX(0,MIN(Assumptions!$D$80*IF(Assumptions!Z$191=2027,1+Assumptions!$F$175,1)/12,1.5*Assumptions!Z$202)-1.1*Assumptions!Z$202)+Assumptions!Z$209*MAX(0,Assumptions!$D$80*IF(Assumptions!Z$191=2027,1+Assumptions!$F$175,1)/12-1.5*Assumptions!Z$202)))</f>
        <v>8202.79918038306</v>
      </c>
      <c r="AA62" s="65" t="n">
        <f aca="false">AA13*(MIN(Assumptions!$D$80*IF(Assumptions!AA$191=2027,1+Assumptions!$F$175,1)/12,Assumptions!AA$202)*Assumptions!AA$203+(Assumptions!AA$205*MAX(0,MIN(Assumptions!$D$80*IF(Assumptions!AA$191=2027,1+Assumptions!$F$175,1)/12,1.1*Assumptions!AA$202)-Assumptions!AA$202)+Assumptions!AA$207*MAX(0,MIN(Assumptions!$D$80*IF(Assumptions!AA$191=2027,1+Assumptions!$F$175,1)/12,1.5*Assumptions!AA$202)-1.1*Assumptions!AA$202)+Assumptions!AA$209*MAX(0,Assumptions!$D$80*IF(Assumptions!AA$191=2027,1+Assumptions!$F$175,1)/12-1.5*Assumptions!AA$202)))</f>
        <v>8202.79918032425</v>
      </c>
      <c r="AB62" s="65" t="n">
        <f aca="false">AB13*(MIN(Assumptions!$D$80*IF(Assumptions!AB$191=2027,1+Assumptions!$F$175,1)/12,Assumptions!AB$202)*Assumptions!AB$203+(Assumptions!AB$205*MAX(0,MIN(Assumptions!$D$80*IF(Assumptions!AB$191=2027,1+Assumptions!$F$175,1)/12,1.1*Assumptions!AB$202)-Assumptions!AB$202)+Assumptions!AB$207*MAX(0,MIN(Assumptions!$D$80*IF(Assumptions!AB$191=2027,1+Assumptions!$F$175,1)/12,1.5*Assumptions!AB$202)-1.1*Assumptions!AB$202)+Assumptions!AB$209*MAX(0,Assumptions!$D$80*IF(Assumptions!AB$191=2027,1+Assumptions!$F$175,1)/12-1.5*Assumptions!AB$202)))</f>
        <v>8202.79918032744</v>
      </c>
    </row>
    <row r="63" customFormat="false" ht="15" hidden="false" customHeight="false" outlineLevel="0" collapsed="false">
      <c r="A63" s="28" t="s">
        <v>1112</v>
      </c>
      <c r="B63" s="63" t="s">
        <v>1107</v>
      </c>
      <c r="C63" s="64" t="n">
        <f aca="false">SUM(E63:P63)</f>
        <v>41273.8027940834</v>
      </c>
      <c r="D63" s="64" t="n">
        <f aca="false">SUM(Q63:AB63)</f>
        <v>42326.4455629559</v>
      </c>
      <c r="E63" s="65" t="n">
        <f aca="false">E14*(MIN(Assumptions!$D$81*IF(Assumptions!E$191=2027,1+Assumptions!$F$175,1)/12,Assumptions!E$202)*Assumptions!E$203+(Assumptions!E$205*MAX(0,MIN(Assumptions!$D$81*IF(Assumptions!E$191=2027,1+Assumptions!$F$175,1)/12,1.1*Assumptions!E$202)-Assumptions!E$202)+Assumptions!E$207*MAX(0,MIN(Assumptions!$D$81*IF(Assumptions!E$191=2027,1+Assumptions!$F$175,1)/12,1.5*Assumptions!E$202)-1.1*Assumptions!E$202)+Assumptions!E$209*MAX(0,Assumptions!$D$81*IF(Assumptions!E$191=2027,1+Assumptions!$F$175,1)/12-1.5*Assumptions!E$202)))</f>
        <v>3456.125</v>
      </c>
      <c r="F63" s="65" t="n">
        <f aca="false">F14*(MIN(Assumptions!$D$81*IF(Assumptions!F$191=2027,1+Assumptions!$F$175,1)/12,Assumptions!F$202)*Assumptions!F$203+(Assumptions!F$205*MAX(0,MIN(Assumptions!$D$81*IF(Assumptions!F$191=2027,1+Assumptions!$F$175,1)/12,1.1*Assumptions!F$202)-Assumptions!F$202)+Assumptions!F$207*MAX(0,MIN(Assumptions!$D$81*IF(Assumptions!F$191=2027,1+Assumptions!$F$175,1)/12,1.5*Assumptions!F$202)-1.1*Assumptions!F$202)+Assumptions!F$209*MAX(0,Assumptions!$D$81*IF(Assumptions!F$191=2027,1+Assumptions!$F$175,1)/12-1.5*Assumptions!F$202)))</f>
        <v>3456.125</v>
      </c>
      <c r="G63" s="65" t="n">
        <f aca="false">G14*(MIN(Assumptions!$D$81*IF(Assumptions!G$191=2027,1+Assumptions!$F$175,1)/12,Assumptions!G$202)*Assumptions!G$203+(Assumptions!G$205*MAX(0,MIN(Assumptions!$D$81*IF(Assumptions!G$191=2027,1+Assumptions!$F$175,1)/12,1.1*Assumptions!G$202)-Assumptions!G$202)+Assumptions!G$207*MAX(0,MIN(Assumptions!$D$81*IF(Assumptions!G$191=2027,1+Assumptions!$F$175,1)/12,1.5*Assumptions!G$202)-1.1*Assumptions!G$202)+Assumptions!G$209*MAX(0,Assumptions!$D$81*IF(Assumptions!G$191=2027,1+Assumptions!$F$175,1)/12-1.5*Assumptions!G$202)))</f>
        <v>3456.125</v>
      </c>
      <c r="H63" s="65" t="n">
        <f aca="false">H14*(MIN(Assumptions!$D$81*IF(Assumptions!H$191=2027,1+Assumptions!$F$175,1)/12,Assumptions!H$202)*Assumptions!H$203+(Assumptions!H$205*MAX(0,MIN(Assumptions!$D$81*IF(Assumptions!H$191=2027,1+Assumptions!$F$175,1)/12,1.1*Assumptions!H$202)-Assumptions!H$202)+Assumptions!H$207*MAX(0,MIN(Assumptions!$D$81*IF(Assumptions!H$191=2027,1+Assumptions!$F$175,1)/12,1.5*Assumptions!H$202)-1.1*Assumptions!H$202)+Assumptions!H$209*MAX(0,Assumptions!$D$81*IF(Assumptions!H$191=2027,1+Assumptions!$F$175,1)/12-1.5*Assumptions!H$202)))</f>
        <v>3456.125</v>
      </c>
      <c r="I63" s="65" t="n">
        <f aca="false">I14*(MIN(Assumptions!$D$81*IF(Assumptions!I$191=2027,1+Assumptions!$F$175,1)/12,Assumptions!I$202)*Assumptions!I$203+(Assumptions!I$205*MAX(0,MIN(Assumptions!$D$81*IF(Assumptions!I$191=2027,1+Assumptions!$F$175,1)/12,1.1*Assumptions!I$202)-Assumptions!I$202)+Assumptions!I$207*MAX(0,MIN(Assumptions!$D$81*IF(Assumptions!I$191=2027,1+Assumptions!$F$175,1)/12,1.5*Assumptions!I$202)-1.1*Assumptions!I$202)+Assumptions!I$209*MAX(0,Assumptions!$D$81*IF(Assumptions!I$191=2027,1+Assumptions!$F$175,1)/12-1.5*Assumptions!I$202)))</f>
        <v>3456.125</v>
      </c>
      <c r="J63" s="65" t="n">
        <f aca="false">J14*(MIN(Assumptions!$D$81*IF(Assumptions!J$191=2027,1+Assumptions!$F$175,1)/12,Assumptions!J$202)*Assumptions!J$203+(Assumptions!J$205*MAX(0,MIN(Assumptions!$D$81*IF(Assumptions!J$191=2027,1+Assumptions!$F$175,1)/12,1.1*Assumptions!J$202)-Assumptions!J$202)+Assumptions!J$207*MAX(0,MIN(Assumptions!$D$81*IF(Assumptions!J$191=2027,1+Assumptions!$F$175,1)/12,1.5*Assumptions!J$202)-1.1*Assumptions!J$202)+Assumptions!J$209*MAX(0,Assumptions!$D$81*IF(Assumptions!J$191=2027,1+Assumptions!$F$175,1)/12-1.5*Assumptions!J$202)))</f>
        <v>3456.125</v>
      </c>
      <c r="K63" s="65" t="n">
        <f aca="false">K14*(MIN(Assumptions!$D$81*IF(Assumptions!K$191=2027,1+Assumptions!$F$175,1)/12,Assumptions!K$202)*Assumptions!K$203+(Assumptions!K$205*MAX(0,MIN(Assumptions!$D$81*IF(Assumptions!K$191=2027,1+Assumptions!$F$175,1)/12,1.1*Assumptions!K$202)-Assumptions!K$202)+Assumptions!K$207*MAX(0,MIN(Assumptions!$D$81*IF(Assumptions!K$191=2027,1+Assumptions!$F$175,1)/12,1.5*Assumptions!K$202)-1.1*Assumptions!K$202)+Assumptions!K$209*MAX(0,Assumptions!$D$81*IF(Assumptions!K$191=2027,1+Assumptions!$F$175,1)/12-1.5*Assumptions!K$202)))</f>
        <v>3456.125</v>
      </c>
      <c r="L63" s="65" t="n">
        <f aca="false">L14*(MIN(Assumptions!$D$81*IF(Assumptions!L$191=2027,1+Assumptions!$F$175,1)/12,Assumptions!L$202)*Assumptions!L$203+(Assumptions!L$205*MAX(0,MIN(Assumptions!$D$81*IF(Assumptions!L$191=2027,1+Assumptions!$F$175,1)/12,1.1*Assumptions!L$202)-Assumptions!L$202)+Assumptions!L$207*MAX(0,MIN(Assumptions!$D$81*IF(Assumptions!L$191=2027,1+Assumptions!$F$175,1)/12,1.5*Assumptions!L$202)-1.1*Assumptions!L$202)+Assumptions!L$209*MAX(0,Assumptions!$D$81*IF(Assumptions!L$191=2027,1+Assumptions!$F$175,1)/12-1.5*Assumptions!L$202)))</f>
        <v>3456.125</v>
      </c>
      <c r="M63" s="65" t="n">
        <f aca="false">M14*(MIN(Assumptions!$D$81*IF(Assumptions!M$191=2027,1+Assumptions!$F$175,1)/12,Assumptions!M$202)*Assumptions!M$203+(Assumptions!M$205*MAX(0,MIN(Assumptions!$D$81*IF(Assumptions!M$191=2027,1+Assumptions!$F$175,1)/12,1.1*Assumptions!M$202)-Assumptions!M$202)+Assumptions!M$207*MAX(0,MIN(Assumptions!$D$81*IF(Assumptions!M$191=2027,1+Assumptions!$F$175,1)/12,1.5*Assumptions!M$202)-1.1*Assumptions!M$202)+Assumptions!M$209*MAX(0,Assumptions!$D$81*IF(Assumptions!M$191=2027,1+Assumptions!$F$175,1)/12-1.5*Assumptions!M$202)))</f>
        <v>3427.32395833333</v>
      </c>
      <c r="N63" s="65" t="n">
        <f aca="false">N14*(MIN(Assumptions!$D$81*IF(Assumptions!N$191=2027,1+Assumptions!$F$175,1)/12,Assumptions!N$202)*Assumptions!N$203+(Assumptions!N$205*MAX(0,MIN(Assumptions!$D$81*IF(Assumptions!N$191=2027,1+Assumptions!$F$175,1)/12,1.1*Assumptions!N$202)-Assumptions!N$202)+Assumptions!N$207*MAX(0,MIN(Assumptions!$D$81*IF(Assumptions!N$191=2027,1+Assumptions!$F$175,1)/12,1.5*Assumptions!N$202)-1.1*Assumptions!N$202)+Assumptions!N$209*MAX(0,Assumptions!$D$81*IF(Assumptions!N$191=2027,1+Assumptions!$F$175,1)/12-1.5*Assumptions!N$202)))</f>
        <v>3398.76292534722</v>
      </c>
      <c r="O63" s="65" t="n">
        <f aca="false">O14*(MIN(Assumptions!$D$81*IF(Assumptions!O$191=2027,1+Assumptions!$F$175,1)/12,Assumptions!O$202)*Assumptions!O$203+(Assumptions!O$205*MAX(0,MIN(Assumptions!$D$81*IF(Assumptions!O$191=2027,1+Assumptions!$F$175,1)/12,1.1*Assumptions!O$202)-Assumptions!O$202)+Assumptions!O$207*MAX(0,MIN(Assumptions!$D$81*IF(Assumptions!O$191=2027,1+Assumptions!$F$175,1)/12,1.5*Assumptions!O$202)-1.1*Assumptions!O$202)+Assumptions!O$209*MAX(0,Assumptions!$D$81*IF(Assumptions!O$191=2027,1+Assumptions!$F$175,1)/12-1.5*Assumptions!O$202)))</f>
        <v>3399.240942636</v>
      </c>
      <c r="P63" s="65" t="n">
        <f aca="false">P14*(MIN(Assumptions!$D$81*IF(Assumptions!P$191=2027,1+Assumptions!$F$175,1)/12,Assumptions!P$202)*Assumptions!P$203+(Assumptions!P$205*MAX(0,MIN(Assumptions!$D$81*IF(Assumptions!P$191=2027,1+Assumptions!$F$175,1)/12,1.1*Assumptions!P$202)-Assumptions!P$202)+Assumptions!P$207*MAX(0,MIN(Assumptions!$D$81*IF(Assumptions!P$191=2027,1+Assumptions!$F$175,1)/12,1.5*Assumptions!P$202)-1.1*Assumptions!P$202)+Assumptions!P$209*MAX(0,Assumptions!$D$81*IF(Assumptions!P$191=2027,1+Assumptions!$F$175,1)/12-1.5*Assumptions!P$202)))</f>
        <v>3399.47496776681</v>
      </c>
      <c r="Q63" s="65" t="n">
        <f aca="false">Q14*(MIN(Assumptions!$D$81*IF(Assumptions!Q$191=2027,1+Assumptions!$F$175,1)/12,Assumptions!Q$202)*Assumptions!Q$203+(Assumptions!Q$205*MAX(0,MIN(Assumptions!$D$81*IF(Assumptions!Q$191=2027,1+Assumptions!$F$175,1)/12,1.1*Assumptions!Q$202)-Assumptions!Q$202)+Assumptions!Q$207*MAX(0,MIN(Assumptions!$D$81*IF(Assumptions!Q$191=2027,1+Assumptions!$F$175,1)/12,1.5*Assumptions!Q$202)-1.1*Assumptions!Q$202)+Assumptions!Q$209*MAX(0,Assumptions!$D$81*IF(Assumptions!Q$191=2027,1+Assumptions!$F$175,1)/12-1.5*Assumptions!Q$202)))</f>
        <v>3527.20553692975</v>
      </c>
      <c r="R63" s="65" t="n">
        <f aca="false">R14*(MIN(Assumptions!$D$81*IF(Assumptions!R$191=2027,1+Assumptions!$F$175,1)/12,Assumptions!R$202)*Assumptions!R$203+(Assumptions!R$205*MAX(0,MIN(Assumptions!$D$81*IF(Assumptions!R$191=2027,1+Assumptions!$F$175,1)/12,1.1*Assumptions!R$202)-Assumptions!R$202)+Assumptions!R$207*MAX(0,MIN(Assumptions!$D$81*IF(Assumptions!R$191=2027,1+Assumptions!$F$175,1)/12,1.5*Assumptions!R$202)-1.1*Assumptions!R$202)+Assumptions!R$209*MAX(0,Assumptions!$D$81*IF(Assumptions!R$191=2027,1+Assumptions!$F$175,1)/12-1.5*Assumptions!R$202)))</f>
        <v>3527.20356474577</v>
      </c>
      <c r="S63" s="65" t="n">
        <f aca="false">S14*(MIN(Assumptions!$D$81*IF(Assumptions!S$191=2027,1+Assumptions!$F$175,1)/12,Assumptions!S$202)*Assumptions!S$203+(Assumptions!S$205*MAX(0,MIN(Assumptions!$D$81*IF(Assumptions!S$191=2027,1+Assumptions!$F$175,1)/12,1.1*Assumptions!S$202)-Assumptions!S$202)+Assumptions!S$207*MAX(0,MIN(Assumptions!$D$81*IF(Assumptions!S$191=2027,1+Assumptions!$F$175,1)/12,1.5*Assumptions!S$202)-1.1*Assumptions!S$202)+Assumptions!S$209*MAX(0,Assumptions!$D$81*IF(Assumptions!S$191=2027,1+Assumptions!$F$175,1)/12-1.5*Assumptions!S$202)))</f>
        <v>3527.20363248604</v>
      </c>
      <c r="T63" s="65" t="n">
        <f aca="false">T14*(MIN(Assumptions!$D$81*IF(Assumptions!T$191=2027,1+Assumptions!$F$175,1)/12,Assumptions!T$202)*Assumptions!T$203+(Assumptions!T$205*MAX(0,MIN(Assumptions!$D$81*IF(Assumptions!T$191=2027,1+Assumptions!$F$175,1)/12,1.1*Assumptions!T$202)-Assumptions!T$202)+Assumptions!T$207*MAX(0,MIN(Assumptions!$D$81*IF(Assumptions!T$191=2027,1+Assumptions!$F$175,1)/12,1.5*Assumptions!T$202)-1.1*Assumptions!T$202)+Assumptions!T$209*MAX(0,Assumptions!$D$81*IF(Assumptions!T$191=2027,1+Assumptions!$F$175,1)/12-1.5*Assumptions!T$202)))</f>
        <v>3527.2036483564</v>
      </c>
      <c r="U63" s="65" t="n">
        <f aca="false">U14*(MIN(Assumptions!$D$81*IF(Assumptions!U$191=2027,1+Assumptions!$F$175,1)/12,Assumptions!U$202)*Assumptions!U$203+(Assumptions!U$205*MAX(0,MIN(Assumptions!$D$81*IF(Assumptions!U$191=2027,1+Assumptions!$F$175,1)/12,1.1*Assumptions!U$202)-Assumptions!U$202)+Assumptions!U$207*MAX(0,MIN(Assumptions!$D$81*IF(Assumptions!U$191=2027,1+Assumptions!$F$175,1)/12,1.5*Assumptions!U$202)-1.1*Assumptions!U$202)+Assumptions!U$209*MAX(0,Assumptions!$D$81*IF(Assumptions!U$191=2027,1+Assumptions!$F$175,1)/12-1.5*Assumptions!U$202)))</f>
        <v>3527.20364765965</v>
      </c>
      <c r="V63" s="65" t="n">
        <f aca="false">V14*(MIN(Assumptions!$D$81*IF(Assumptions!V$191=2027,1+Assumptions!$F$175,1)/12,Assumptions!V$202)*Assumptions!V$203+(Assumptions!V$205*MAX(0,MIN(Assumptions!$D$81*IF(Assumptions!V$191=2027,1+Assumptions!$F$175,1)/12,1.1*Assumptions!V$202)-Assumptions!V$202)+Assumptions!V$207*MAX(0,MIN(Assumptions!$D$81*IF(Assumptions!V$191=2027,1+Assumptions!$F$175,1)/12,1.5*Assumptions!V$202)-1.1*Assumptions!V$202)+Assumptions!V$209*MAX(0,Assumptions!$D$81*IF(Assumptions!V$191=2027,1+Assumptions!$F$175,1)/12-1.5*Assumptions!V$202)))</f>
        <v>3527.2036475332</v>
      </c>
      <c r="W63" s="65" t="n">
        <f aca="false">W14*(MIN(Assumptions!$D$81*IF(Assumptions!W$191=2027,1+Assumptions!$F$175,1)/12,Assumptions!W$202)*Assumptions!W$203+(Assumptions!W$205*MAX(0,MIN(Assumptions!$D$81*IF(Assumptions!W$191=2027,1+Assumptions!$F$175,1)/12,1.1*Assumptions!W$202)-Assumptions!W$202)+Assumptions!W$207*MAX(0,MIN(Assumptions!$D$81*IF(Assumptions!W$191=2027,1+Assumptions!$F$175,1)/12,1.5*Assumptions!W$202)-1.1*Assumptions!W$202)+Assumptions!W$209*MAX(0,Assumptions!$D$81*IF(Assumptions!W$191=2027,1+Assumptions!$F$175,1)/12-1.5*Assumptions!W$202)))</f>
        <v>3527.20364754006</v>
      </c>
      <c r="X63" s="65" t="n">
        <f aca="false">X14*(MIN(Assumptions!$D$81*IF(Assumptions!X$191=2027,1+Assumptions!$F$175,1)/12,Assumptions!X$202)*Assumptions!X$203+(Assumptions!X$205*MAX(0,MIN(Assumptions!$D$81*IF(Assumptions!X$191=2027,1+Assumptions!$F$175,1)/12,1.1*Assumptions!X$202)-Assumptions!X$202)+Assumptions!X$207*MAX(0,MIN(Assumptions!$D$81*IF(Assumptions!X$191=2027,1+Assumptions!$F$175,1)/12,1.5*Assumptions!X$202)-1.1*Assumptions!X$202)+Assumptions!X$209*MAX(0,Assumptions!$D$81*IF(Assumptions!X$191=2027,1+Assumptions!$F$175,1)/12-1.5*Assumptions!X$202)))</f>
        <v>3527.20364754106</v>
      </c>
      <c r="Y63" s="65" t="n">
        <f aca="false">Y14*(MIN(Assumptions!$D$81*IF(Assumptions!Y$191=2027,1+Assumptions!$F$175,1)/12,Assumptions!Y$202)*Assumptions!Y$203+(Assumptions!Y$205*MAX(0,MIN(Assumptions!$D$81*IF(Assumptions!Y$191=2027,1+Assumptions!$F$175,1)/12,1.1*Assumptions!Y$202)-Assumptions!Y$202)+Assumptions!Y$207*MAX(0,MIN(Assumptions!$D$81*IF(Assumptions!Y$191=2027,1+Assumptions!$F$175,1)/12,1.5*Assumptions!Y$202)-1.1*Assumptions!Y$202)+Assumptions!Y$209*MAX(0,Assumptions!$D$81*IF(Assumptions!Y$191=2027,1+Assumptions!$F$175,1)/12-1.5*Assumptions!Y$202)))</f>
        <v>3527.20364754099</v>
      </c>
      <c r="Z63" s="65" t="n">
        <f aca="false">Z14*(MIN(Assumptions!$D$81*IF(Assumptions!Z$191=2027,1+Assumptions!$F$175,1)/12,Assumptions!Z$202)*Assumptions!Z$203+(Assumptions!Z$205*MAX(0,MIN(Assumptions!$D$81*IF(Assumptions!Z$191=2027,1+Assumptions!$F$175,1)/12,1.1*Assumptions!Z$202)-Assumptions!Z$202)+Assumptions!Z$207*MAX(0,MIN(Assumptions!$D$81*IF(Assumptions!Z$191=2027,1+Assumptions!$F$175,1)/12,1.5*Assumptions!Z$202)-1.1*Assumptions!Z$202)+Assumptions!Z$209*MAX(0,Assumptions!$D$81*IF(Assumptions!Z$191=2027,1+Assumptions!$F$175,1)/12-1.5*Assumptions!Z$202)))</f>
        <v>3527.20364754098</v>
      </c>
      <c r="AA63" s="65" t="n">
        <f aca="false">AA14*(MIN(Assumptions!$D$81*IF(Assumptions!AA$191=2027,1+Assumptions!$F$175,1)/12,Assumptions!AA$202)*Assumptions!AA$203+(Assumptions!AA$205*MAX(0,MIN(Assumptions!$D$81*IF(Assumptions!AA$191=2027,1+Assumptions!$F$175,1)/12,1.1*Assumptions!AA$202)-Assumptions!AA$202)+Assumptions!AA$207*MAX(0,MIN(Assumptions!$D$81*IF(Assumptions!AA$191=2027,1+Assumptions!$F$175,1)/12,1.5*Assumptions!AA$202)-1.1*Assumptions!AA$202)+Assumptions!AA$209*MAX(0,Assumptions!$D$81*IF(Assumptions!AA$191=2027,1+Assumptions!$F$175,1)/12-1.5*Assumptions!AA$202)))</f>
        <v>3527.20364754098</v>
      </c>
      <c r="AB63" s="65" t="n">
        <f aca="false">AB14*(MIN(Assumptions!$D$81*IF(Assumptions!AB$191=2027,1+Assumptions!$F$175,1)/12,Assumptions!AB$202)*Assumptions!AB$203+(Assumptions!AB$205*MAX(0,MIN(Assumptions!$D$81*IF(Assumptions!AB$191=2027,1+Assumptions!$F$175,1)/12,1.1*Assumptions!AB$202)-Assumptions!AB$202)+Assumptions!AB$207*MAX(0,MIN(Assumptions!$D$81*IF(Assumptions!AB$191=2027,1+Assumptions!$F$175,1)/12,1.5*Assumptions!AB$202)-1.1*Assumptions!AB$202)+Assumptions!AB$209*MAX(0,Assumptions!$D$81*IF(Assumptions!AB$191=2027,1+Assumptions!$F$175,1)/12-1.5*Assumptions!AB$202)))</f>
        <v>3527.20364754098</v>
      </c>
    </row>
    <row r="64" customFormat="false" ht="15" hidden="false" customHeight="false" outlineLevel="0" collapsed="false">
      <c r="A64" s="28" t="s">
        <v>1113</v>
      </c>
      <c r="B64" s="63" t="s">
        <v>1107</v>
      </c>
      <c r="C64" s="64" t="n">
        <f aca="false">SUM(E64:P64)</f>
        <v>70790.0207027859</v>
      </c>
      <c r="D64" s="64" t="n">
        <f aca="false">SUM(Q64:AB64)</f>
        <v>76419.8601442106</v>
      </c>
      <c r="E64" s="65" t="n">
        <f aca="false">E15*(MIN(Assumptions!$D$82*IF(Assumptions!E$191=2027,1+Assumptions!$F$175,1)/12,Assumptions!E$202)*Assumptions!E$203+(Assumptions!E$205*MAX(0,MIN(Assumptions!$D$82*IF(Assumptions!E$191=2027,1+Assumptions!$F$175,1)/12,1.1*Assumptions!E$202)-Assumptions!E$202)+Assumptions!E$207*MAX(0,MIN(Assumptions!$D$82*IF(Assumptions!E$191=2027,1+Assumptions!$F$175,1)/12,1.5*Assumptions!E$202)-1.1*Assumptions!E$202)+Assumptions!E$209*MAX(0,Assumptions!$D$82*IF(Assumptions!E$191=2027,1+Assumptions!$F$175,1)/12-1.5*Assumptions!E$202)))</f>
        <v>5787</v>
      </c>
      <c r="F64" s="65" t="n">
        <f aca="false">F15*(MIN(Assumptions!$D$82*IF(Assumptions!F$191=2027,1+Assumptions!$F$175,1)/12,Assumptions!F$202)*Assumptions!F$203+(Assumptions!F$205*MAX(0,MIN(Assumptions!$D$82*IF(Assumptions!F$191=2027,1+Assumptions!$F$175,1)/12,1.1*Assumptions!F$202)-Assumptions!F$202)+Assumptions!F$207*MAX(0,MIN(Assumptions!$D$82*IF(Assumptions!F$191=2027,1+Assumptions!$F$175,1)/12,1.5*Assumptions!F$202)-1.1*Assumptions!F$202)+Assumptions!F$209*MAX(0,Assumptions!$D$82*IF(Assumptions!F$191=2027,1+Assumptions!$F$175,1)/12-1.5*Assumptions!F$202)))</f>
        <v>5787</v>
      </c>
      <c r="G64" s="65" t="n">
        <f aca="false">G15*(MIN(Assumptions!$D$82*IF(Assumptions!G$191=2027,1+Assumptions!$F$175,1)/12,Assumptions!G$202)*Assumptions!G$203+(Assumptions!G$205*MAX(0,MIN(Assumptions!$D$82*IF(Assumptions!G$191=2027,1+Assumptions!$F$175,1)/12,1.1*Assumptions!G$202)-Assumptions!G$202)+Assumptions!G$207*MAX(0,MIN(Assumptions!$D$82*IF(Assumptions!G$191=2027,1+Assumptions!$F$175,1)/12,1.5*Assumptions!G$202)-1.1*Assumptions!G$202)+Assumptions!G$209*MAX(0,Assumptions!$D$82*IF(Assumptions!G$191=2027,1+Assumptions!$F$175,1)/12-1.5*Assumptions!G$202)))</f>
        <v>5787</v>
      </c>
      <c r="H64" s="65" t="n">
        <f aca="false">H15*(MIN(Assumptions!$D$82*IF(Assumptions!H$191=2027,1+Assumptions!$F$175,1)/12,Assumptions!H$202)*Assumptions!H$203+(Assumptions!H$205*MAX(0,MIN(Assumptions!$D$82*IF(Assumptions!H$191=2027,1+Assumptions!$F$175,1)/12,1.1*Assumptions!H$202)-Assumptions!H$202)+Assumptions!H$207*MAX(0,MIN(Assumptions!$D$82*IF(Assumptions!H$191=2027,1+Assumptions!$F$175,1)/12,1.5*Assumptions!H$202)-1.1*Assumptions!H$202)+Assumptions!H$209*MAX(0,Assumptions!$D$82*IF(Assumptions!H$191=2027,1+Assumptions!$F$175,1)/12-1.5*Assumptions!H$202)))</f>
        <v>5787</v>
      </c>
      <c r="I64" s="65" t="n">
        <f aca="false">I15*(MIN(Assumptions!$D$82*IF(Assumptions!I$191=2027,1+Assumptions!$F$175,1)/12,Assumptions!I$202)*Assumptions!I$203+(Assumptions!I$205*MAX(0,MIN(Assumptions!$D$82*IF(Assumptions!I$191=2027,1+Assumptions!$F$175,1)/12,1.1*Assumptions!I$202)-Assumptions!I$202)+Assumptions!I$207*MAX(0,MIN(Assumptions!$D$82*IF(Assumptions!I$191=2027,1+Assumptions!$F$175,1)/12,1.5*Assumptions!I$202)-1.1*Assumptions!I$202)+Assumptions!I$209*MAX(0,Assumptions!$D$82*IF(Assumptions!I$191=2027,1+Assumptions!$F$175,1)/12-1.5*Assumptions!I$202)))</f>
        <v>6510.375</v>
      </c>
      <c r="J64" s="65" t="n">
        <f aca="false">J15*(MIN(Assumptions!$D$82*IF(Assumptions!J$191=2027,1+Assumptions!$F$175,1)/12,Assumptions!J$202)*Assumptions!J$203+(Assumptions!J$205*MAX(0,MIN(Assumptions!$D$82*IF(Assumptions!J$191=2027,1+Assumptions!$F$175,1)/12,1.1*Assumptions!J$202)-Assumptions!J$202)+Assumptions!J$207*MAX(0,MIN(Assumptions!$D$82*IF(Assumptions!J$191=2027,1+Assumptions!$F$175,1)/12,1.5*Assumptions!J$202)-1.1*Assumptions!J$202)+Assumptions!J$209*MAX(0,Assumptions!$D$82*IF(Assumptions!J$191=2027,1+Assumptions!$F$175,1)/12-1.5*Assumptions!J$202)))</f>
        <v>6510.375</v>
      </c>
      <c r="K64" s="65" t="n">
        <f aca="false">K15*(MIN(Assumptions!$D$82*IF(Assumptions!K$191=2027,1+Assumptions!$F$175,1)/12,Assumptions!K$202)*Assumptions!K$203+(Assumptions!K$205*MAX(0,MIN(Assumptions!$D$82*IF(Assumptions!K$191=2027,1+Assumptions!$F$175,1)/12,1.1*Assumptions!K$202)-Assumptions!K$202)+Assumptions!K$207*MAX(0,MIN(Assumptions!$D$82*IF(Assumptions!K$191=2027,1+Assumptions!$F$175,1)/12,1.5*Assumptions!K$202)-1.1*Assumptions!K$202)+Assumptions!K$209*MAX(0,Assumptions!$D$82*IF(Assumptions!K$191=2027,1+Assumptions!$F$175,1)/12-1.5*Assumptions!K$202)))</f>
        <v>6510.375</v>
      </c>
      <c r="L64" s="65" t="n">
        <f aca="false">L15*(MIN(Assumptions!$D$82*IF(Assumptions!L$191=2027,1+Assumptions!$F$175,1)/12,Assumptions!L$202)*Assumptions!L$203+(Assumptions!L$205*MAX(0,MIN(Assumptions!$D$82*IF(Assumptions!L$191=2027,1+Assumptions!$F$175,1)/12,1.1*Assumptions!L$202)-Assumptions!L$202)+Assumptions!L$207*MAX(0,MIN(Assumptions!$D$82*IF(Assumptions!L$191=2027,1+Assumptions!$F$175,1)/12,1.5*Assumptions!L$202)-1.1*Assumptions!L$202)+Assumptions!L$209*MAX(0,Assumptions!$D$82*IF(Assumptions!L$191=2027,1+Assumptions!$F$175,1)/12-1.5*Assumptions!L$202)))</f>
        <v>5787</v>
      </c>
      <c r="M64" s="65" t="n">
        <f aca="false">M15*(MIN(Assumptions!$D$82*IF(Assumptions!M$191=2027,1+Assumptions!$F$175,1)/12,Assumptions!M$202)*Assumptions!M$203+(Assumptions!M$205*MAX(0,MIN(Assumptions!$D$82*IF(Assumptions!M$191=2027,1+Assumptions!$F$175,1)/12,1.1*Assumptions!M$202)-Assumptions!M$202)+Assumptions!M$207*MAX(0,MIN(Assumptions!$D$82*IF(Assumptions!M$191=2027,1+Assumptions!$F$175,1)/12,1.5*Assumptions!M$202)-1.1*Assumptions!M$202)+Assumptions!M$209*MAX(0,Assumptions!$D$82*IF(Assumptions!M$191=2027,1+Assumptions!$F$175,1)/12-1.5*Assumptions!M$202)))</f>
        <v>5666.4375</v>
      </c>
      <c r="N64" s="65" t="n">
        <f aca="false">N15*(MIN(Assumptions!$D$82*IF(Assumptions!N$191=2027,1+Assumptions!$F$175,1)/12,Assumptions!N$202)*Assumptions!N$203+(Assumptions!N$205*MAX(0,MIN(Assumptions!$D$82*IF(Assumptions!N$191=2027,1+Assumptions!$F$175,1)/12,1.1*Assumptions!N$202)-Assumptions!N$202)+Assumptions!N$207*MAX(0,MIN(Assumptions!$D$82*IF(Assumptions!N$191=2027,1+Assumptions!$F$175,1)/12,1.5*Assumptions!N$202)-1.1*Assumptions!N$202)+Assumptions!N$209*MAX(0,Assumptions!$D$82*IF(Assumptions!N$191=2027,1+Assumptions!$F$175,1)/12-1.5*Assumptions!N$202)))</f>
        <v>5548.38671875</v>
      </c>
      <c r="O64" s="65" t="n">
        <f aca="false">O15*(MIN(Assumptions!$D$82*IF(Assumptions!O$191=2027,1+Assumptions!$F$175,1)/12,Assumptions!O$202)*Assumptions!O$203+(Assumptions!O$205*MAX(0,MIN(Assumptions!$D$82*IF(Assumptions!O$191=2027,1+Assumptions!$F$175,1)/12,1.1*Assumptions!O$202)-Assumptions!O$202)+Assumptions!O$207*MAX(0,MIN(Assumptions!$D$82*IF(Assumptions!O$191=2027,1+Assumptions!$F$175,1)/12,1.5*Assumptions!O$202)-1.1*Assumptions!O$202)+Assumptions!O$209*MAX(0,Assumptions!$D$82*IF(Assumptions!O$191=2027,1+Assumptions!$F$175,1)/12-1.5*Assumptions!O$202)))</f>
        <v>5553.35782877604</v>
      </c>
      <c r="P64" s="65" t="n">
        <f aca="false">P15*(MIN(Assumptions!$D$82*IF(Assumptions!P$191=2027,1+Assumptions!$F$175,1)/12,Assumptions!P$202)*Assumptions!P$203+(Assumptions!P$205*MAX(0,MIN(Assumptions!$D$82*IF(Assumptions!P$191=2027,1+Assumptions!$F$175,1)/12,1.1*Assumptions!P$202)-Assumptions!P$202)+Assumptions!P$207*MAX(0,MIN(Assumptions!$D$82*IF(Assumptions!P$191=2027,1+Assumptions!$F$175,1)/12,1.5*Assumptions!P$202)-1.1*Assumptions!P$202)+Assumptions!P$209*MAX(0,Assumptions!$D$82*IF(Assumptions!P$191=2027,1+Assumptions!$F$175,1)/12-1.5*Assumptions!P$202)))</f>
        <v>5555.71365525987</v>
      </c>
      <c r="Q64" s="65" t="n">
        <f aca="false">Q15*(MIN(Assumptions!$D$82*IF(Assumptions!Q$191=2027,1+Assumptions!$F$175,1)/12,Assumptions!Q$202)*Assumptions!Q$203+(Assumptions!Q$205*MAX(0,MIN(Assumptions!$D$82*IF(Assumptions!Q$191=2027,1+Assumptions!$F$175,1)/12,1.1*Assumptions!Q$202)-Assumptions!Q$202)+Assumptions!Q$207*MAX(0,MIN(Assumptions!$D$82*IF(Assumptions!Q$191=2027,1+Assumptions!$F$175,1)/12,1.5*Assumptions!Q$202)-1.1*Assumptions!Q$202)+Assumptions!Q$209*MAX(0,Assumptions!$D$82*IF(Assumptions!Q$191=2027,1+Assumptions!$F$175,1)/12-1.5*Assumptions!Q$202)))</f>
        <v>5764.3135917457</v>
      </c>
      <c r="R64" s="65" t="n">
        <f aca="false">R15*(MIN(Assumptions!$D$82*IF(Assumptions!R$191=2027,1+Assumptions!$F$175,1)/12,Assumptions!R$202)*Assumptions!R$203+(Assumptions!R$205*MAX(0,MIN(Assumptions!$D$82*IF(Assumptions!R$191=2027,1+Assumptions!$F$175,1)/12,1.1*Assumptions!R$202)-Assumptions!R$202)+Assumptions!R$207*MAX(0,MIN(Assumptions!$D$82*IF(Assumptions!R$191=2027,1+Assumptions!$F$175,1)/12,1.5*Assumptions!R$202)-1.1*Assumptions!R$202)+Assumptions!R$209*MAX(0,Assumptions!$D$82*IF(Assumptions!R$191=2027,1+Assumptions!$F$175,1)/12-1.5*Assumptions!R$202)))</f>
        <v>5764.26596742323</v>
      </c>
      <c r="S64" s="65" t="n">
        <f aca="false">S15*(MIN(Assumptions!$D$82*IF(Assumptions!S$191=2027,1+Assumptions!$F$175,1)/12,Assumptions!S$202)*Assumptions!S$203+(Assumptions!S$205*MAX(0,MIN(Assumptions!$D$82*IF(Assumptions!S$191=2027,1+Assumptions!$F$175,1)/12,1.1*Assumptions!S$202)-Assumptions!S$202)+Assumptions!S$207*MAX(0,MIN(Assumptions!$D$82*IF(Assumptions!S$191=2027,1+Assumptions!$F$175,1)/12,1.5*Assumptions!S$202)-1.1*Assumptions!S$202)+Assumptions!S$209*MAX(0,Assumptions!$D$82*IF(Assumptions!S$191=2027,1+Assumptions!$F$175,1)/12-1.5*Assumptions!S$202)))</f>
        <v>6514.82638418398</v>
      </c>
      <c r="T64" s="65" t="n">
        <f aca="false">T15*(MIN(Assumptions!$D$82*IF(Assumptions!T$191=2027,1+Assumptions!$F$175,1)/12,Assumptions!T$202)*Assumptions!T$203+(Assumptions!T$205*MAX(0,MIN(Assumptions!$D$82*IF(Assumptions!T$191=2027,1+Assumptions!$F$175,1)/12,1.1*Assumptions!T$202)-Assumptions!T$202)+Assumptions!T$207*MAX(0,MIN(Assumptions!$D$82*IF(Assumptions!T$191=2027,1+Assumptions!$F$175,1)/12,1.5*Assumptions!T$202)-1.1*Assumptions!T$202)+Assumptions!T$209*MAX(0,Assumptions!$D$82*IF(Assumptions!T$191=2027,1+Assumptions!$F$175,1)/12-1.5*Assumptions!T$202)))</f>
        <v>6499.19070100818</v>
      </c>
      <c r="U64" s="65" t="n">
        <f aca="false">U15*(MIN(Assumptions!$D$82*IF(Assumptions!U$191=2027,1+Assumptions!$F$175,1)/12,Assumptions!U$202)*Assumptions!U$203+(Assumptions!U$205*MAX(0,MIN(Assumptions!$D$82*IF(Assumptions!U$191=2027,1+Assumptions!$F$175,1)/12,1.1*Assumptions!U$202)-Assumptions!U$202)+Assumptions!U$207*MAX(0,MIN(Assumptions!$D$82*IF(Assumptions!U$191=2027,1+Assumptions!$F$175,1)/12,1.5*Assumptions!U$202)-1.1*Assumptions!U$202)+Assumptions!U$209*MAX(0,Assumptions!$D$82*IF(Assumptions!U$191=2027,1+Assumptions!$F$175,1)/12-1.5*Assumptions!U$202)))</f>
        <v>6483.8797690585</v>
      </c>
      <c r="V64" s="65" t="n">
        <f aca="false">V15*(MIN(Assumptions!$D$82*IF(Assumptions!V$191=2027,1+Assumptions!$F$175,1)/12,Assumptions!V$202)*Assumptions!V$203+(Assumptions!V$205*MAX(0,MIN(Assumptions!$D$82*IF(Assumptions!V$191=2027,1+Assumptions!$F$175,1)/12,1.1*Assumptions!V$202)-Assumptions!V$202)+Assumptions!V$207*MAX(0,MIN(Assumptions!$D$82*IF(Assumptions!V$191=2027,1+Assumptions!$F$175,1)/12,1.5*Assumptions!V$202)-1.1*Assumptions!V$202)+Assumptions!V$209*MAX(0,Assumptions!$D$82*IF(Assumptions!V$191=2027,1+Assumptions!$F$175,1)/12-1.5*Assumptions!V$202)))</f>
        <v>6484.52449020694</v>
      </c>
      <c r="W64" s="65" t="n">
        <f aca="false">W15*(MIN(Assumptions!$D$82*IF(Assumptions!W$191=2027,1+Assumptions!$F$175,1)/12,Assumptions!W$202)*Assumptions!W$203+(Assumptions!W$205*MAX(0,MIN(Assumptions!$D$82*IF(Assumptions!W$191=2027,1+Assumptions!$F$175,1)/12,1.1*Assumptions!W$202)-Assumptions!W$202)+Assumptions!W$207*MAX(0,MIN(Assumptions!$D$82*IF(Assumptions!W$191=2027,1+Assumptions!$F$175,1)/12,1.5*Assumptions!W$202)-1.1*Assumptions!W$202)+Assumptions!W$209*MAX(0,Assumptions!$D$82*IF(Assumptions!W$191=2027,1+Assumptions!$F$175,1)/12-1.5*Assumptions!W$202)))</f>
        <v>6484.8300362653</v>
      </c>
      <c r="X64" s="65" t="n">
        <f aca="false">X15*(MIN(Assumptions!$D$82*IF(Assumptions!X$191=2027,1+Assumptions!$F$175,1)/12,Assumptions!X$202)*Assumptions!X$203+(Assumptions!X$205*MAX(0,MIN(Assumptions!$D$82*IF(Assumptions!X$191=2027,1+Assumptions!$F$175,1)/12,1.1*Assumptions!X$202)-Assumptions!X$202)+Assumptions!X$207*MAX(0,MIN(Assumptions!$D$82*IF(Assumptions!X$191=2027,1+Assumptions!$F$175,1)/12,1.5*Assumptions!X$202)-1.1*Assumptions!X$202)+Assumptions!X$209*MAX(0,Assumptions!$D$82*IF(Assumptions!X$191=2027,1+Assumptions!$F$175,1)/12-1.5*Assumptions!X$202)))</f>
        <v>6484.81023903183</v>
      </c>
      <c r="Y64" s="65" t="n">
        <f aca="false">Y15*(MIN(Assumptions!$D$82*IF(Assumptions!Y$191=2027,1+Assumptions!$F$175,1)/12,Assumptions!Y$202)*Assumptions!Y$203+(Assumptions!Y$205*MAX(0,MIN(Assumptions!$D$82*IF(Assumptions!Y$191=2027,1+Assumptions!$F$175,1)/12,1.1*Assumptions!Y$202)-Assumptions!Y$202)+Assumptions!Y$207*MAX(0,MIN(Assumptions!$D$82*IF(Assumptions!Y$191=2027,1+Assumptions!$F$175,1)/12,1.5*Assumptions!Y$202)-1.1*Assumptions!Y$202)+Assumptions!Y$209*MAX(0,Assumptions!$D$82*IF(Assumptions!Y$191=2027,1+Assumptions!$F$175,1)/12-1.5*Assumptions!Y$202)))</f>
        <v>6484.80428593131</v>
      </c>
      <c r="Z64" s="65" t="n">
        <f aca="false">Z15*(MIN(Assumptions!$D$82*IF(Assumptions!Z$191=2027,1+Assumptions!$F$175,1)/12,Assumptions!Z$202)*Assumptions!Z$203+(Assumptions!Z$205*MAX(0,MIN(Assumptions!$D$82*IF(Assumptions!Z$191=2027,1+Assumptions!$F$175,1)/12,1.1*Assumptions!Z$202)-Assumptions!Z$202)+Assumptions!Z$207*MAX(0,MIN(Assumptions!$D$82*IF(Assumptions!Z$191=2027,1+Assumptions!$F$175,1)/12,1.5*Assumptions!Z$202)-1.1*Assumptions!Z$202)+Assumptions!Z$209*MAX(0,Assumptions!$D$82*IF(Assumptions!Z$191=2027,1+Assumptions!$F$175,1)/12-1.5*Assumptions!Z$202)))</f>
        <v>6484.8048223966</v>
      </c>
      <c r="AA64" s="65" t="n">
        <f aca="false">AA15*(MIN(Assumptions!$D$82*IF(Assumptions!AA$191=2027,1+Assumptions!$F$175,1)/12,Assumptions!AA$202)*Assumptions!AA$203+(Assumptions!AA$205*MAX(0,MIN(Assumptions!$D$82*IF(Assumptions!AA$191=2027,1+Assumptions!$F$175,1)/12,1.1*Assumptions!AA$202)-Assumptions!AA$202)+Assumptions!AA$207*MAX(0,MIN(Assumptions!$D$82*IF(Assumptions!AA$191=2027,1+Assumptions!$F$175,1)/12,1.5*Assumptions!AA$202)-1.1*Assumptions!AA$202)+Assumptions!AA$209*MAX(0,Assumptions!$D$82*IF(Assumptions!AA$191=2027,1+Assumptions!$F$175,1)/12-1.5*Assumptions!AA$202)))</f>
        <v>6484.80493524317</v>
      </c>
      <c r="AB64" s="65" t="n">
        <f aca="false">AB15*(MIN(Assumptions!$D$82*IF(Assumptions!AB$191=2027,1+Assumptions!$F$175,1)/12,Assumptions!AB$202)*Assumptions!AB$203+(Assumptions!AB$205*MAX(0,MIN(Assumptions!$D$82*IF(Assumptions!AB$191=2027,1+Assumptions!$F$175,1)/12,1.1*Assumptions!AB$202)-Assumptions!AB$202)+Assumptions!AB$207*MAX(0,MIN(Assumptions!$D$82*IF(Assumptions!AB$191=2027,1+Assumptions!$F$175,1)/12,1.5*Assumptions!AB$202)-1.1*Assumptions!AB$202)+Assumptions!AB$209*MAX(0,Assumptions!$D$82*IF(Assumptions!AB$191=2027,1+Assumptions!$F$175,1)/12-1.5*Assumptions!AB$202)))</f>
        <v>6484.80492171584</v>
      </c>
    </row>
    <row r="65" customFormat="false" ht="15" hidden="false" customHeight="false" outlineLevel="0" collapsed="false">
      <c r="A65" s="28" t="s">
        <v>1114</v>
      </c>
      <c r="B65" s="63" t="s">
        <v>1107</v>
      </c>
      <c r="C65" s="64" t="n">
        <f aca="false">SUM(E65:P65)</f>
        <v>67886.0736242127</v>
      </c>
      <c r="D65" s="64" t="n">
        <f aca="false">SUM(Q65:AB65)</f>
        <v>82319.9113515153</v>
      </c>
      <c r="E65" s="65" t="n">
        <f aca="false">E16*(MIN(Assumptions!$D$83*IF(Assumptions!E$191=2027,1+Assumptions!$F$175,1)/12,Assumptions!E$202)*Assumptions!E$203+(Assumptions!E$205*MAX(0,MIN(Assumptions!$D$83*IF(Assumptions!E$191=2027,1+Assumptions!$F$175,1)/12,1.1*Assumptions!E$202)-Assumptions!E$202)+Assumptions!E$207*MAX(0,MIN(Assumptions!$D$83*IF(Assumptions!E$191=2027,1+Assumptions!$F$175,1)/12,1.5*Assumptions!E$202)-1.1*Assumptions!E$202)+Assumptions!E$209*MAX(0,Assumptions!$D$83*IF(Assumptions!E$191=2027,1+Assumptions!$F$175,1)/12-1.5*Assumptions!E$202)))</f>
        <v>4956.45833333333</v>
      </c>
      <c r="F65" s="65" t="n">
        <f aca="false">F16*(MIN(Assumptions!$D$83*IF(Assumptions!F$191=2027,1+Assumptions!$F$175,1)/12,Assumptions!F$202)*Assumptions!F$203+(Assumptions!F$205*MAX(0,MIN(Assumptions!$D$83*IF(Assumptions!F$191=2027,1+Assumptions!$F$175,1)/12,1.1*Assumptions!F$202)-Assumptions!F$202)+Assumptions!F$207*MAX(0,MIN(Assumptions!$D$83*IF(Assumptions!F$191=2027,1+Assumptions!$F$175,1)/12,1.5*Assumptions!F$202)-1.1*Assumptions!F$202)+Assumptions!F$209*MAX(0,Assumptions!$D$83*IF(Assumptions!F$191=2027,1+Assumptions!$F$175,1)/12-1.5*Assumptions!F$202)))</f>
        <v>4956.45833333333</v>
      </c>
      <c r="G65" s="65" t="n">
        <f aca="false">G16*(MIN(Assumptions!$D$83*IF(Assumptions!G$191=2027,1+Assumptions!$F$175,1)/12,Assumptions!G$202)*Assumptions!G$203+(Assumptions!G$205*MAX(0,MIN(Assumptions!$D$83*IF(Assumptions!G$191=2027,1+Assumptions!$F$175,1)/12,1.1*Assumptions!G$202)-Assumptions!G$202)+Assumptions!G$207*MAX(0,MIN(Assumptions!$D$83*IF(Assumptions!G$191=2027,1+Assumptions!$F$175,1)/12,1.5*Assumptions!G$202)-1.1*Assumptions!G$202)+Assumptions!G$209*MAX(0,Assumptions!$D$83*IF(Assumptions!G$191=2027,1+Assumptions!$F$175,1)/12-1.5*Assumptions!G$202)))</f>
        <v>4956.45833333333</v>
      </c>
      <c r="H65" s="65" t="n">
        <f aca="false">H16*(MIN(Assumptions!$D$83*IF(Assumptions!H$191=2027,1+Assumptions!$F$175,1)/12,Assumptions!H$202)*Assumptions!H$203+(Assumptions!H$205*MAX(0,MIN(Assumptions!$D$83*IF(Assumptions!H$191=2027,1+Assumptions!$F$175,1)/12,1.1*Assumptions!H$202)-Assumptions!H$202)+Assumptions!H$207*MAX(0,MIN(Assumptions!$D$83*IF(Assumptions!H$191=2027,1+Assumptions!$F$175,1)/12,1.5*Assumptions!H$202)-1.1*Assumptions!H$202)+Assumptions!H$209*MAX(0,Assumptions!$D$83*IF(Assumptions!H$191=2027,1+Assumptions!$F$175,1)/12-1.5*Assumptions!H$202)))</f>
        <v>5947.75</v>
      </c>
      <c r="I65" s="65" t="n">
        <f aca="false">I16*(MIN(Assumptions!$D$83*IF(Assumptions!I$191=2027,1+Assumptions!$F$175,1)/12,Assumptions!I$202)*Assumptions!I$203+(Assumptions!I$205*MAX(0,MIN(Assumptions!$D$83*IF(Assumptions!I$191=2027,1+Assumptions!$F$175,1)/12,1.1*Assumptions!I$202)-Assumptions!I$202)+Assumptions!I$207*MAX(0,MIN(Assumptions!$D$83*IF(Assumptions!I$191=2027,1+Assumptions!$F$175,1)/12,1.5*Assumptions!I$202)-1.1*Assumptions!I$202)+Assumptions!I$209*MAX(0,Assumptions!$D$83*IF(Assumptions!I$191=2027,1+Assumptions!$F$175,1)/12-1.5*Assumptions!I$202)))</f>
        <v>5947.75</v>
      </c>
      <c r="J65" s="65" t="n">
        <f aca="false">J16*(MIN(Assumptions!$D$83*IF(Assumptions!J$191=2027,1+Assumptions!$F$175,1)/12,Assumptions!J$202)*Assumptions!J$203+(Assumptions!J$205*MAX(0,MIN(Assumptions!$D$83*IF(Assumptions!J$191=2027,1+Assumptions!$F$175,1)/12,1.1*Assumptions!J$202)-Assumptions!J$202)+Assumptions!J$207*MAX(0,MIN(Assumptions!$D$83*IF(Assumptions!J$191=2027,1+Assumptions!$F$175,1)/12,1.5*Assumptions!J$202)-1.1*Assumptions!J$202)+Assumptions!J$209*MAX(0,Assumptions!$D$83*IF(Assumptions!J$191=2027,1+Assumptions!$F$175,1)/12-1.5*Assumptions!J$202)))</f>
        <v>5947.75</v>
      </c>
      <c r="K65" s="65" t="n">
        <f aca="false">K16*(MIN(Assumptions!$D$83*IF(Assumptions!K$191=2027,1+Assumptions!$F$175,1)/12,Assumptions!K$202)*Assumptions!K$203+(Assumptions!K$205*MAX(0,MIN(Assumptions!$D$83*IF(Assumptions!K$191=2027,1+Assumptions!$F$175,1)/12,1.1*Assumptions!K$202)-Assumptions!K$202)+Assumptions!K$207*MAX(0,MIN(Assumptions!$D$83*IF(Assumptions!K$191=2027,1+Assumptions!$F$175,1)/12,1.5*Assumptions!K$202)-1.1*Assumptions!K$202)+Assumptions!K$209*MAX(0,Assumptions!$D$83*IF(Assumptions!K$191=2027,1+Assumptions!$F$175,1)/12-1.5*Assumptions!K$202)))</f>
        <v>5947.75</v>
      </c>
      <c r="L65" s="65" t="n">
        <f aca="false">L16*(MIN(Assumptions!$D$83*IF(Assumptions!L$191=2027,1+Assumptions!$F$175,1)/12,Assumptions!L$202)*Assumptions!L$203+(Assumptions!L$205*MAX(0,MIN(Assumptions!$D$83*IF(Assumptions!L$191=2027,1+Assumptions!$F$175,1)/12,1.1*Assumptions!L$202)-Assumptions!L$202)+Assumptions!L$207*MAX(0,MIN(Assumptions!$D$83*IF(Assumptions!L$191=2027,1+Assumptions!$F$175,1)/12,1.5*Assumptions!L$202)-1.1*Assumptions!L$202)+Assumptions!L$209*MAX(0,Assumptions!$D$83*IF(Assumptions!L$191=2027,1+Assumptions!$F$175,1)/12-1.5*Assumptions!L$202)))</f>
        <v>5947.75</v>
      </c>
      <c r="M65" s="65" t="n">
        <f aca="false">M16*(MIN(Assumptions!$D$83*IF(Assumptions!M$191=2027,1+Assumptions!$F$175,1)/12,Assumptions!M$202)*Assumptions!M$203+(Assumptions!M$205*MAX(0,MIN(Assumptions!$D$83*IF(Assumptions!M$191=2027,1+Assumptions!$F$175,1)/12,1.1*Assumptions!M$202)-Assumptions!M$202)+Assumptions!M$207*MAX(0,MIN(Assumptions!$D$83*IF(Assumptions!M$191=2027,1+Assumptions!$F$175,1)/12,1.5*Assumptions!M$202)-1.1*Assumptions!M$202)+Assumptions!M$209*MAX(0,Assumptions!$D$83*IF(Assumptions!M$191=2027,1+Assumptions!$F$175,1)/12-1.5*Assumptions!M$202)))</f>
        <v>5873.403125</v>
      </c>
      <c r="N65" s="65" t="n">
        <f aca="false">N16*(MIN(Assumptions!$D$83*IF(Assumptions!N$191=2027,1+Assumptions!$F$175,1)/12,Assumptions!N$202)*Assumptions!N$203+(Assumptions!N$205*MAX(0,MIN(Assumptions!$D$83*IF(Assumptions!N$191=2027,1+Assumptions!$F$175,1)/12,1.1*Assumptions!N$202)-Assumptions!N$202)+Assumptions!N$207*MAX(0,MIN(Assumptions!$D$83*IF(Assumptions!N$191=2027,1+Assumptions!$F$175,1)/12,1.5*Assumptions!N$202)-1.1*Assumptions!N$202)+Assumptions!N$209*MAX(0,Assumptions!$D$83*IF(Assumptions!N$191=2027,1+Assumptions!$F$175,1)/12-1.5*Assumptions!N$202)))</f>
        <v>5799.9855859375</v>
      </c>
      <c r="O65" s="65" t="n">
        <f aca="false">O16*(MIN(Assumptions!$D$83*IF(Assumptions!O$191=2027,1+Assumptions!$F$175,1)/12,Assumptions!O$202)*Assumptions!O$203+(Assumptions!O$205*MAX(0,MIN(Assumptions!$D$83*IF(Assumptions!O$191=2027,1+Assumptions!$F$175,1)/12,1.1*Assumptions!O$202)-Assumptions!O$202)+Assumptions!O$207*MAX(0,MIN(Assumptions!$D$83*IF(Assumptions!O$191=2027,1+Assumptions!$F$175,1)/12,1.5*Assumptions!O$202)-1.1*Assumptions!O$202)+Assumptions!O$209*MAX(0,Assumptions!$D$83*IF(Assumptions!O$191=2027,1+Assumptions!$F$175,1)/12-1.5*Assumptions!O$202)))</f>
        <v>5801.83264111328</v>
      </c>
      <c r="P65" s="65" t="n">
        <f aca="false">P16*(MIN(Assumptions!$D$83*IF(Assumptions!P$191=2027,1+Assumptions!$F$175,1)/12,Assumptions!P$202)*Assumptions!P$203+(Assumptions!P$205*MAX(0,MIN(Assumptions!$D$83*IF(Assumptions!P$191=2027,1+Assumptions!$F$175,1)/12,1.1*Assumptions!P$202)-Assumptions!P$202)+Assumptions!P$207*MAX(0,MIN(Assumptions!$D$83*IF(Assumptions!P$191=2027,1+Assumptions!$F$175,1)/12,1.5*Assumptions!P$202)-1.1*Assumptions!P$202)+Assumptions!P$209*MAX(0,Assumptions!$D$83*IF(Assumptions!P$191=2027,1+Assumptions!$F$175,1)/12-1.5*Assumptions!P$202)))</f>
        <v>5802.72727216187</v>
      </c>
      <c r="Q65" s="65" t="n">
        <f aca="false">Q16*(MIN(Assumptions!$D$83*IF(Assumptions!Q$191=2027,1+Assumptions!$F$175,1)/12,Assumptions!Q$202)*Assumptions!Q$203+(Assumptions!Q$205*MAX(0,MIN(Assumptions!$D$83*IF(Assumptions!Q$191=2027,1+Assumptions!$F$175,1)/12,1.1*Assumptions!Q$202)-Assumptions!Q$202)+Assumptions!Q$207*MAX(0,MIN(Assumptions!$D$83*IF(Assumptions!Q$191=2027,1+Assumptions!$F$175,1)/12,1.5*Assumptions!Q$202)-1.1*Assumptions!Q$202)+Assumptions!Q$209*MAX(0,Assumptions!$D$83*IF(Assumptions!Q$191=2027,1+Assumptions!$F$175,1)/12-1.5*Assumptions!Q$202)))</f>
        <v>6020.73167231142</v>
      </c>
      <c r="R65" s="65" t="n">
        <f aca="false">R16*(MIN(Assumptions!$D$83*IF(Assumptions!R$191=2027,1+Assumptions!$F$175,1)/12,Assumptions!R$202)*Assumptions!R$203+(Assumptions!R$205*MAX(0,MIN(Assumptions!$D$83*IF(Assumptions!R$191=2027,1+Assumptions!$F$175,1)/12,1.1*Assumptions!R$202)-Assumptions!R$202)+Assumptions!R$207*MAX(0,MIN(Assumptions!$D$83*IF(Assumptions!R$191=2027,1+Assumptions!$F$175,1)/12,1.5*Assumptions!R$202)-1.1*Assumptions!R$202)+Assumptions!R$209*MAX(0,Assumptions!$D$83*IF(Assumptions!R$191=2027,1+Assumptions!$F$175,1)/12-1.5*Assumptions!R$202)))</f>
        <v>6020.72051370686</v>
      </c>
      <c r="S65" s="65" t="n">
        <f aca="false">S16*(MIN(Assumptions!$D$83*IF(Assumptions!S$191=2027,1+Assumptions!$F$175,1)/12,Assumptions!S$202)*Assumptions!S$203+(Assumptions!S$205*MAX(0,MIN(Assumptions!$D$83*IF(Assumptions!S$191=2027,1+Assumptions!$F$175,1)/12,1.1*Assumptions!S$202)-Assumptions!S$202)+Assumptions!S$207*MAX(0,MIN(Assumptions!$D$83*IF(Assumptions!S$191=2027,1+Assumptions!$F$175,1)/12,1.5*Assumptions!S$202)-1.1*Assumptions!S$202)+Assumptions!S$209*MAX(0,Assumptions!$D$83*IF(Assumptions!S$191=2027,1+Assumptions!$F$175,1)/12-1.5*Assumptions!S$202)))</f>
        <v>7049.26097267477</v>
      </c>
      <c r="T65" s="65" t="n">
        <f aca="false">T16*(MIN(Assumptions!$D$83*IF(Assumptions!T$191=2027,1+Assumptions!$F$175,1)/12,Assumptions!T$202)*Assumptions!T$203+(Assumptions!T$205*MAX(0,MIN(Assumptions!$D$83*IF(Assumptions!T$191=2027,1+Assumptions!$F$175,1)/12,1.1*Assumptions!T$202)-Assumptions!T$202)+Assumptions!T$207*MAX(0,MIN(Assumptions!$D$83*IF(Assumptions!T$191=2027,1+Assumptions!$F$175,1)/12,1.5*Assumptions!T$202)-1.1*Assumptions!T$202)+Assumptions!T$209*MAX(0,Assumptions!$D$83*IF(Assumptions!T$191=2027,1+Assumptions!$F$175,1)/12-1.5*Assumptions!T$202)))</f>
        <v>7036.40435642023</v>
      </c>
      <c r="U65" s="65" t="n">
        <f aca="false">U16*(MIN(Assumptions!$D$83*IF(Assumptions!U$191=2027,1+Assumptions!$F$175,1)/12,Assumptions!U$202)*Assumptions!U$203+(Assumptions!U$205*MAX(0,MIN(Assumptions!$D$83*IF(Assumptions!U$191=2027,1+Assumptions!$F$175,1)/12,1.1*Assumptions!U$202)-Assumptions!U$202)+Assumptions!U$207*MAX(0,MIN(Assumptions!$D$83*IF(Assumptions!U$191=2027,1+Assumptions!$F$175,1)/12,1.5*Assumptions!U$202)-1.1*Assumptions!U$202)+Assumptions!U$209*MAX(0,Assumptions!$D$83*IF(Assumptions!U$191=2027,1+Assumptions!$F$175,1)/12-1.5*Assumptions!U$202)))</f>
        <v>7023.70830838631</v>
      </c>
      <c r="V65" s="65" t="n">
        <f aca="false">V16*(MIN(Assumptions!$D$83*IF(Assumptions!V$191=2027,1+Assumptions!$F$175,1)/12,Assumptions!V$202)*Assumptions!V$203+(Assumptions!V$205*MAX(0,MIN(Assumptions!$D$83*IF(Assumptions!V$191=2027,1+Assumptions!$F$175,1)/12,1.1*Assumptions!V$202)-Assumptions!V$202)+Assumptions!V$207*MAX(0,MIN(Assumptions!$D$83*IF(Assumptions!V$191=2027,1+Assumptions!$F$175,1)/12,1.5*Assumptions!V$202)-1.1*Assumptions!V$202)+Assumptions!V$209*MAX(0,Assumptions!$D$83*IF(Assumptions!V$191=2027,1+Assumptions!$F$175,1)/12-1.5*Assumptions!V$202)))</f>
        <v>7024.02771668992</v>
      </c>
      <c r="W65" s="65" t="n">
        <f aca="false">W16*(MIN(Assumptions!$D$83*IF(Assumptions!W$191=2027,1+Assumptions!$F$175,1)/12,Assumptions!W$202)*Assumptions!W$203+(Assumptions!W$205*MAX(0,MIN(Assumptions!$D$83*IF(Assumptions!W$191=2027,1+Assumptions!$F$175,1)/12,1.1*Assumptions!W$202)-Assumptions!W$202)+Assumptions!W$207*MAX(0,MIN(Assumptions!$D$83*IF(Assumptions!W$191=2027,1+Assumptions!$F$175,1)/12,1.5*Assumptions!W$202)-1.1*Assumptions!W$202)+Assumptions!W$209*MAX(0,Assumptions!$D$83*IF(Assumptions!W$191=2027,1+Assumptions!$F$175,1)/12-1.5*Assumptions!W$202)))</f>
        <v>7024.18242468655</v>
      </c>
      <c r="X65" s="65" t="n">
        <f aca="false">X16*(MIN(Assumptions!$D$83*IF(Assumptions!X$191=2027,1+Assumptions!$F$175,1)/12,Assumptions!X$202)*Assumptions!X$203+(Assumptions!X$205*MAX(0,MIN(Assumptions!$D$83*IF(Assumptions!X$191=2027,1+Assumptions!$F$175,1)/12,1.1*Assumptions!X$202)-Assumptions!X$202)+Assumptions!X$207*MAX(0,MIN(Assumptions!$D$83*IF(Assumptions!X$191=2027,1+Assumptions!$F$175,1)/12,1.5*Assumptions!X$202)-1.1*Assumptions!X$202)+Assumptions!X$209*MAX(0,Assumptions!$D$83*IF(Assumptions!X$191=2027,1+Assumptions!$F$175,1)/12-1.5*Assumptions!X$202)))</f>
        <v>7024.1764982328</v>
      </c>
      <c r="Y65" s="65" t="n">
        <f aca="false">Y16*(MIN(Assumptions!$D$83*IF(Assumptions!Y$191=2027,1+Assumptions!$F$175,1)/12,Assumptions!Y$202)*Assumptions!Y$203+(Assumptions!Y$205*MAX(0,MIN(Assumptions!$D$83*IF(Assumptions!Y$191=2027,1+Assumptions!$F$175,1)/12,1.1*Assumptions!Y$202)-Assumptions!Y$202)+Assumptions!Y$207*MAX(0,MIN(Assumptions!$D$83*IF(Assumptions!Y$191=2027,1+Assumptions!$F$175,1)/12,1.5*Assumptions!Y$202)-1.1*Assumptions!Y$202)+Assumptions!Y$209*MAX(0,Assumptions!$D$83*IF(Assumptions!Y$191=2027,1+Assumptions!$F$175,1)/12-1.5*Assumptions!Y$202)))</f>
        <v>7024.17463846351</v>
      </c>
      <c r="Z65" s="65" t="n">
        <f aca="false">Z16*(MIN(Assumptions!$D$83*IF(Assumptions!Z$191=2027,1+Assumptions!$F$175,1)/12,Assumptions!Z$202)*Assumptions!Z$203+(Assumptions!Z$205*MAX(0,MIN(Assumptions!$D$83*IF(Assumptions!Z$191=2027,1+Assumptions!$F$175,1)/12,1.1*Assumptions!Z$202)-Assumptions!Z$202)+Assumptions!Z$207*MAX(0,MIN(Assumptions!$D$83*IF(Assumptions!Z$191=2027,1+Assumptions!$F$175,1)/12,1.5*Assumptions!Z$202)-1.1*Assumptions!Z$202)+Assumptions!Z$209*MAX(0,Assumptions!$D$83*IF(Assumptions!Z$191=2027,1+Assumptions!$F$175,1)/12-1.5*Assumptions!Z$202)))</f>
        <v>7024.1747357913</v>
      </c>
      <c r="AA65" s="65" t="n">
        <f aca="false">AA16*(MIN(Assumptions!$D$83*IF(Assumptions!AA$191=2027,1+Assumptions!$F$175,1)/12,Assumptions!AA$202)*Assumptions!AA$203+(Assumptions!AA$205*MAX(0,MIN(Assumptions!$D$83*IF(Assumptions!AA$191=2027,1+Assumptions!$F$175,1)/12,1.1*Assumptions!AA$202)-Assumptions!AA$202)+Assumptions!AA$207*MAX(0,MIN(Assumptions!$D$83*IF(Assumptions!AA$191=2027,1+Assumptions!$F$175,1)/12,1.5*Assumptions!AA$202)-1.1*Assumptions!AA$202)+Assumptions!AA$209*MAX(0,Assumptions!$D$83*IF(Assumptions!AA$191=2027,1+Assumptions!$F$175,1)/12-1.5*Assumptions!AA$202)))</f>
        <v>7024.17475782182</v>
      </c>
      <c r="AB65" s="65" t="n">
        <f aca="false">AB16*(MIN(Assumptions!$D$83*IF(Assumptions!AB$191=2027,1+Assumptions!$F$175,1)/12,Assumptions!AB$202)*Assumptions!AB$203+(Assumptions!AB$205*MAX(0,MIN(Assumptions!$D$83*IF(Assumptions!AB$191=2027,1+Assumptions!$F$175,1)/12,1.1*Assumptions!AB$202)-Assumptions!AB$202)+Assumptions!AB$207*MAX(0,MIN(Assumptions!$D$83*IF(Assumptions!AB$191=2027,1+Assumptions!$F$175,1)/12,1.5*Assumptions!AB$202)-1.1*Assumptions!AB$202)+Assumptions!AB$209*MAX(0,Assumptions!$D$83*IF(Assumptions!AB$191=2027,1+Assumptions!$F$175,1)/12-1.5*Assumptions!AB$202)))</f>
        <v>7024.17475632984</v>
      </c>
    </row>
    <row r="66" customFormat="false" ht="15" hidden="false" customHeight="false" outlineLevel="0" collapsed="false">
      <c r="A66" s="28" t="s">
        <v>1115</v>
      </c>
      <c r="B66" s="63" t="s">
        <v>1107</v>
      </c>
      <c r="C66" s="64" t="n">
        <f aca="false">SUM(E66:P66)</f>
        <v>78143.0963025269</v>
      </c>
      <c r="D66" s="64" t="n">
        <f aca="false">SUM(Q66:AB66)</f>
        <v>104834.620971268</v>
      </c>
      <c r="E66" s="65" t="n">
        <f aca="false">E17*(MIN(Assumptions!$D$84*IF(Assumptions!E$191=2027,1+Assumptions!$F$175,1)/12,Assumptions!E$202)*Assumptions!E$203+(Assumptions!E$205*MAX(0,MIN(Assumptions!$D$84*IF(Assumptions!E$191=2027,1+Assumptions!$F$175,1)/12,1.1*Assumptions!E$202)-Assumptions!E$202)+Assumptions!E$207*MAX(0,MIN(Assumptions!$D$84*IF(Assumptions!E$191=2027,1+Assumptions!$F$175,1)/12,1.5*Assumptions!E$202)-1.1*Assumptions!E$202)+Assumptions!E$209*MAX(0,Assumptions!$D$84*IF(Assumptions!E$191=2027,1+Assumptions!$F$175,1)/12-1.5*Assumptions!E$202)))</f>
        <v>5626.25</v>
      </c>
      <c r="F66" s="65" t="n">
        <f aca="false">F17*(MIN(Assumptions!$D$84*IF(Assumptions!F$191=2027,1+Assumptions!$F$175,1)/12,Assumptions!F$202)*Assumptions!F$203+(Assumptions!F$205*MAX(0,MIN(Assumptions!$D$84*IF(Assumptions!F$191=2027,1+Assumptions!$F$175,1)/12,1.1*Assumptions!F$202)-Assumptions!F$202)+Assumptions!F$207*MAX(0,MIN(Assumptions!$D$84*IF(Assumptions!F$191=2027,1+Assumptions!$F$175,1)/12,1.5*Assumptions!F$202)-1.1*Assumptions!F$202)+Assumptions!F$209*MAX(0,Assumptions!$D$84*IF(Assumptions!F$191=2027,1+Assumptions!$F$175,1)/12-1.5*Assumptions!F$202)))</f>
        <v>5626.25</v>
      </c>
      <c r="G66" s="65" t="n">
        <f aca="false">G17*(MIN(Assumptions!$D$84*IF(Assumptions!G$191=2027,1+Assumptions!$F$175,1)/12,Assumptions!G$202)*Assumptions!G$203+(Assumptions!G$205*MAX(0,MIN(Assumptions!$D$84*IF(Assumptions!G$191=2027,1+Assumptions!$F$175,1)/12,1.1*Assumptions!G$202)-Assumptions!G$202)+Assumptions!G$207*MAX(0,MIN(Assumptions!$D$84*IF(Assumptions!G$191=2027,1+Assumptions!$F$175,1)/12,1.5*Assumptions!G$202)-1.1*Assumptions!G$202)+Assumptions!G$209*MAX(0,Assumptions!$D$84*IF(Assumptions!G$191=2027,1+Assumptions!$F$175,1)/12-1.5*Assumptions!G$202)))</f>
        <v>5626.25</v>
      </c>
      <c r="H66" s="65" t="n">
        <f aca="false">H17*(MIN(Assumptions!$D$84*IF(Assumptions!H$191=2027,1+Assumptions!$F$175,1)/12,Assumptions!H$202)*Assumptions!H$203+(Assumptions!H$205*MAX(0,MIN(Assumptions!$D$84*IF(Assumptions!H$191=2027,1+Assumptions!$F$175,1)/12,1.1*Assumptions!H$202)-Assumptions!H$202)+Assumptions!H$207*MAX(0,MIN(Assumptions!$D$84*IF(Assumptions!H$191=2027,1+Assumptions!$F$175,1)/12,1.5*Assumptions!H$202)-1.1*Assumptions!H$202)+Assumptions!H$209*MAX(0,Assumptions!$D$84*IF(Assumptions!H$191=2027,1+Assumptions!$F$175,1)/12-1.5*Assumptions!H$202)))</f>
        <v>5626.25</v>
      </c>
      <c r="I66" s="65" t="n">
        <f aca="false">I17*(MIN(Assumptions!$D$84*IF(Assumptions!I$191=2027,1+Assumptions!$F$175,1)/12,Assumptions!I$202)*Assumptions!I$203+(Assumptions!I$205*MAX(0,MIN(Assumptions!$D$84*IF(Assumptions!I$191=2027,1+Assumptions!$F$175,1)/12,1.1*Assumptions!I$202)-Assumptions!I$202)+Assumptions!I$207*MAX(0,MIN(Assumptions!$D$84*IF(Assumptions!I$191=2027,1+Assumptions!$F$175,1)/12,1.5*Assumptions!I$202)-1.1*Assumptions!I$202)+Assumptions!I$209*MAX(0,Assumptions!$D$84*IF(Assumptions!I$191=2027,1+Assumptions!$F$175,1)/12-1.5*Assumptions!I$202)))</f>
        <v>5626.25</v>
      </c>
      <c r="J66" s="65" t="n">
        <f aca="false">J17*(MIN(Assumptions!$D$84*IF(Assumptions!J$191=2027,1+Assumptions!$F$175,1)/12,Assumptions!J$202)*Assumptions!J$203+(Assumptions!J$205*MAX(0,MIN(Assumptions!$D$84*IF(Assumptions!J$191=2027,1+Assumptions!$F$175,1)/12,1.1*Assumptions!J$202)-Assumptions!J$202)+Assumptions!J$207*MAX(0,MIN(Assumptions!$D$84*IF(Assumptions!J$191=2027,1+Assumptions!$F$175,1)/12,1.5*Assumptions!J$202)-1.1*Assumptions!J$202)+Assumptions!J$209*MAX(0,Assumptions!$D$84*IF(Assumptions!J$191=2027,1+Assumptions!$F$175,1)/12-1.5*Assumptions!J$202)))</f>
        <v>6751.5</v>
      </c>
      <c r="K66" s="65" t="n">
        <f aca="false">K17*(MIN(Assumptions!$D$84*IF(Assumptions!K$191=2027,1+Assumptions!$F$175,1)/12,Assumptions!K$202)*Assumptions!K$203+(Assumptions!K$205*MAX(0,MIN(Assumptions!$D$84*IF(Assumptions!K$191=2027,1+Assumptions!$F$175,1)/12,1.1*Assumptions!K$202)-Assumptions!K$202)+Assumptions!K$207*MAX(0,MIN(Assumptions!$D$84*IF(Assumptions!K$191=2027,1+Assumptions!$F$175,1)/12,1.5*Assumptions!K$202)-1.1*Assumptions!K$202)+Assumptions!K$209*MAX(0,Assumptions!$D$84*IF(Assumptions!K$191=2027,1+Assumptions!$F$175,1)/12-1.5*Assumptions!K$202)))</f>
        <v>6751.5</v>
      </c>
      <c r="L66" s="65" t="n">
        <f aca="false">L17*(MIN(Assumptions!$D$84*IF(Assumptions!L$191=2027,1+Assumptions!$F$175,1)/12,Assumptions!L$202)*Assumptions!L$203+(Assumptions!L$205*MAX(0,MIN(Assumptions!$D$84*IF(Assumptions!L$191=2027,1+Assumptions!$F$175,1)/12,1.1*Assumptions!L$202)-Assumptions!L$202)+Assumptions!L$207*MAX(0,MIN(Assumptions!$D$84*IF(Assumptions!L$191=2027,1+Assumptions!$F$175,1)/12,1.5*Assumptions!L$202)-1.1*Assumptions!L$202)+Assumptions!L$209*MAX(0,Assumptions!$D$84*IF(Assumptions!L$191=2027,1+Assumptions!$F$175,1)/12-1.5*Assumptions!L$202)))</f>
        <v>6751.5</v>
      </c>
      <c r="M66" s="65" t="n">
        <f aca="false">M17*(MIN(Assumptions!$D$84*IF(Assumptions!M$191=2027,1+Assumptions!$F$175,1)/12,Assumptions!M$202)*Assumptions!M$203+(Assumptions!M$205*MAX(0,MIN(Assumptions!$D$84*IF(Assumptions!M$191=2027,1+Assumptions!$F$175,1)/12,1.1*Assumptions!M$202)-Assumptions!M$202)+Assumptions!M$207*MAX(0,MIN(Assumptions!$D$84*IF(Assumptions!M$191=2027,1+Assumptions!$F$175,1)/12,1.5*Assumptions!M$202)-1.1*Assumptions!M$202)+Assumptions!M$209*MAX(0,Assumptions!$D$84*IF(Assumptions!M$191=2027,1+Assumptions!$F$175,1)/12-1.5*Assumptions!M$202)))</f>
        <v>6667.10625</v>
      </c>
      <c r="N66" s="65" t="n">
        <f aca="false">N17*(MIN(Assumptions!$D$84*IF(Assumptions!N$191=2027,1+Assumptions!$F$175,1)/12,Assumptions!N$202)*Assumptions!N$203+(Assumptions!N$205*MAX(0,MIN(Assumptions!$D$84*IF(Assumptions!N$191=2027,1+Assumptions!$F$175,1)/12,1.1*Assumptions!N$202)-Assumptions!N$202)+Assumptions!N$207*MAX(0,MIN(Assumptions!$D$84*IF(Assumptions!N$191=2027,1+Assumptions!$F$175,1)/12,1.5*Assumptions!N$202)-1.1*Assumptions!N$202)+Assumptions!N$209*MAX(0,Assumptions!$D$84*IF(Assumptions!N$191=2027,1+Assumptions!$F$175,1)/12-1.5*Assumptions!N$202)))</f>
        <v>7709.017421875</v>
      </c>
      <c r="O66" s="65" t="n">
        <f aca="false">O17*(MIN(Assumptions!$D$84*IF(Assumptions!O$191=2027,1+Assumptions!$F$175,1)/12,Assumptions!O$202)*Assumptions!O$203+(Assumptions!O$205*MAX(0,MIN(Assumptions!$D$84*IF(Assumptions!O$191=2027,1+Assumptions!$F$175,1)/12,1.1*Assumptions!O$202)-Assumptions!O$202)+Assumptions!O$207*MAX(0,MIN(Assumptions!$D$84*IF(Assumptions!O$191=2027,1+Assumptions!$F$175,1)/12,1.5*Assumptions!O$202)-1.1*Assumptions!O$202)+Assumptions!O$209*MAX(0,Assumptions!$D$84*IF(Assumptions!O$191=2027,1+Assumptions!$F$175,1)/12-1.5*Assumptions!O$202)))</f>
        <v>7697.04845410156</v>
      </c>
      <c r="P66" s="65" t="n">
        <f aca="false">P17*(MIN(Assumptions!$D$84*IF(Assumptions!P$191=2027,1+Assumptions!$F$175,1)/12,Assumptions!P$202)*Assumptions!P$203+(Assumptions!P$205*MAX(0,MIN(Assumptions!$D$84*IF(Assumptions!P$191=2027,1+Assumptions!$F$175,1)/12,1.1*Assumptions!P$202)-Assumptions!P$202)+Assumptions!P$207*MAX(0,MIN(Assumptions!$D$84*IF(Assumptions!P$191=2027,1+Assumptions!$F$175,1)/12,1.5*Assumptions!P$202)-1.1*Assumptions!P$202)+Assumptions!P$209*MAX(0,Assumptions!$D$84*IF(Assumptions!P$191=2027,1+Assumptions!$F$175,1)/12-1.5*Assumptions!P$202)))</f>
        <v>7684.17417655029</v>
      </c>
      <c r="Q66" s="65" t="n">
        <f aca="false">Q17*(MIN(Assumptions!$D$84*IF(Assumptions!Q$191=2027,1+Assumptions!$F$175,1)/12,Assumptions!Q$202)*Assumptions!Q$203+(Assumptions!Q$205*MAX(0,MIN(Assumptions!$D$84*IF(Assumptions!Q$191=2027,1+Assumptions!$F$175,1)/12,1.1*Assumptions!Q$202)-Assumptions!Q$202)+Assumptions!Q$207*MAX(0,MIN(Assumptions!$D$84*IF(Assumptions!Q$191=2027,1+Assumptions!$F$175,1)/12,1.5*Assumptions!Q$202)-1.1*Assumptions!Q$202)+Assumptions!Q$209*MAX(0,Assumptions!$D$84*IF(Assumptions!Q$191=2027,1+Assumptions!$F$175,1)/12-1.5*Assumptions!Q$202)))</f>
        <v>7973.23251688398</v>
      </c>
      <c r="R66" s="65" t="n">
        <f aca="false">R17*(MIN(Assumptions!$D$84*IF(Assumptions!R$191=2027,1+Assumptions!$F$175,1)/12,Assumptions!R$202)*Assumptions!R$203+(Assumptions!R$205*MAX(0,MIN(Assumptions!$D$84*IF(Assumptions!R$191=2027,1+Assumptions!$F$175,1)/12,1.1*Assumptions!R$202)-Assumptions!R$202)+Assumptions!R$207*MAX(0,MIN(Assumptions!$D$84*IF(Assumptions!R$191=2027,1+Assumptions!$F$175,1)/12,1.5*Assumptions!R$202)-1.1*Assumptions!R$202)+Assumptions!R$209*MAX(0,Assumptions!$D$84*IF(Assumptions!R$191=2027,1+Assumptions!$F$175,1)/12-1.5*Assumptions!R$202)))</f>
        <v>7973.39546469367</v>
      </c>
      <c r="S66" s="65" t="n">
        <f aca="false">S17*(MIN(Assumptions!$D$84*IF(Assumptions!S$191=2027,1+Assumptions!$F$175,1)/12,Assumptions!S$202)*Assumptions!S$203+(Assumptions!S$205*MAX(0,MIN(Assumptions!$D$84*IF(Assumptions!S$191=2027,1+Assumptions!$F$175,1)/12,1.1*Assumptions!S$202)-Assumptions!S$202)+Assumptions!S$207*MAX(0,MIN(Assumptions!$D$84*IF(Assumptions!S$191=2027,1+Assumptions!$F$175,1)/12,1.5*Assumptions!S$202)-1.1*Assumptions!S$202)+Assumptions!S$209*MAX(0,Assumptions!$D$84*IF(Assumptions!S$191=2027,1+Assumptions!$F$175,1)/12-1.5*Assumptions!S$202)))</f>
        <v>7973.38940023028</v>
      </c>
      <c r="T66" s="65" t="n">
        <f aca="false">T17*(MIN(Assumptions!$D$84*IF(Assumptions!T$191=2027,1+Assumptions!$F$175,1)/12,Assumptions!T$202)*Assumptions!T$203+(Assumptions!T$205*MAX(0,MIN(Assumptions!$D$84*IF(Assumptions!T$191=2027,1+Assumptions!$F$175,1)/12,1.1*Assumptions!T$202)-Assumptions!T$202)+Assumptions!T$207*MAX(0,MIN(Assumptions!$D$84*IF(Assumptions!T$191=2027,1+Assumptions!$F$175,1)/12,1.5*Assumptions!T$202)-1.1*Assumptions!T$202)+Assumptions!T$209*MAX(0,Assumptions!$D$84*IF(Assumptions!T$191=2027,1+Assumptions!$F$175,1)/12-1.5*Assumptions!T$202)))</f>
        <v>7973.38743918845</v>
      </c>
      <c r="U66" s="65" t="n">
        <f aca="false">U17*(MIN(Assumptions!$D$84*IF(Assumptions!U$191=2027,1+Assumptions!$F$175,1)/12,Assumptions!U$202)*Assumptions!U$203+(Assumptions!U$205*MAX(0,MIN(Assumptions!$D$84*IF(Assumptions!U$191=2027,1+Assumptions!$F$175,1)/12,1.1*Assumptions!U$202)-Assumptions!U$202)+Assumptions!U$207*MAX(0,MIN(Assumptions!$D$84*IF(Assumptions!U$191=2027,1+Assumptions!$F$175,1)/12,1.5*Assumptions!U$202)-1.1*Assumptions!U$202)+Assumptions!U$209*MAX(0,Assumptions!$D$84*IF(Assumptions!U$191=2027,1+Assumptions!$F$175,1)/12-1.5*Assumptions!U$202)))</f>
        <v>9140.91928950727</v>
      </c>
      <c r="V66" s="65" t="n">
        <f aca="false">V17*(MIN(Assumptions!$D$84*IF(Assumptions!V$191=2027,1+Assumptions!$F$175,1)/12,Assumptions!V$202)*Assumptions!V$203+(Assumptions!V$205*MAX(0,MIN(Assumptions!$D$84*IF(Assumptions!V$191=2027,1+Assumptions!$F$175,1)/12,1.1*Assumptions!V$202)-Assumptions!V$202)+Assumptions!V$207*MAX(0,MIN(Assumptions!$D$84*IF(Assumptions!V$191=2027,1+Assumptions!$F$175,1)/12,1.5*Assumptions!V$202)-1.1*Assumptions!V$202)+Assumptions!V$209*MAX(0,Assumptions!$D$84*IF(Assumptions!V$191=2027,1+Assumptions!$F$175,1)/12-1.5*Assumptions!V$202)))</f>
        <v>9126.3251658913</v>
      </c>
      <c r="W66" s="65" t="n">
        <f aca="false">W17*(MIN(Assumptions!$D$84*IF(Assumptions!W$191=2027,1+Assumptions!$F$175,1)/12,Assumptions!W$202)*Assumptions!W$203+(Assumptions!W$205*MAX(0,MIN(Assumptions!$D$84*IF(Assumptions!W$191=2027,1+Assumptions!$F$175,1)/12,1.1*Assumptions!W$202)-Assumptions!W$202)+Assumptions!W$207*MAX(0,MIN(Assumptions!$D$84*IF(Assumptions!W$191=2027,1+Assumptions!$F$175,1)/12,1.5*Assumptions!W$202)-1.1*Assumptions!W$202)+Assumptions!W$209*MAX(0,Assumptions!$D$84*IF(Assumptions!W$191=2027,1+Assumptions!$F$175,1)/12-1.5*Assumptions!W$202)))</f>
        <v>9111.91344430752</v>
      </c>
      <c r="X66" s="65" t="n">
        <f aca="false">X17*(MIN(Assumptions!$D$84*IF(Assumptions!X$191=2027,1+Assumptions!$F$175,1)/12,Assumptions!X$202)*Assumptions!X$203+(Assumptions!X$205*MAX(0,MIN(Assumptions!$D$84*IF(Assumptions!X$191=2027,1+Assumptions!$F$175,1)/12,1.1*Assumptions!X$202)-Assumptions!X$202)+Assumptions!X$207*MAX(0,MIN(Assumptions!$D$84*IF(Assumptions!X$191=2027,1+Assumptions!$F$175,1)/12,1.5*Assumptions!X$202)-1.1*Assumptions!X$202)+Assumptions!X$209*MAX(0,Assumptions!$D$84*IF(Assumptions!X$191=2027,1+Assumptions!$F$175,1)/12-1.5*Assumptions!X$202)))</f>
        <v>9112.27601737252</v>
      </c>
      <c r="Y66" s="65" t="n">
        <f aca="false">Y17*(MIN(Assumptions!$D$84*IF(Assumptions!Y$191=2027,1+Assumptions!$F$175,1)/12,Assumptions!Y$202)*Assumptions!Y$203+(Assumptions!Y$205*MAX(0,MIN(Assumptions!$D$84*IF(Assumptions!Y$191=2027,1+Assumptions!$F$175,1)/12,1.1*Assumptions!Y$202)-Assumptions!Y$202)+Assumptions!Y$207*MAX(0,MIN(Assumptions!$D$84*IF(Assumptions!Y$191=2027,1+Assumptions!$F$175,1)/12,1.5*Assumptions!Y$202)-1.1*Assumptions!Y$202)+Assumptions!Y$209*MAX(0,Assumptions!$D$84*IF(Assumptions!Y$191=2027,1+Assumptions!$F$175,1)/12-1.5*Assumptions!Y$202)))</f>
        <v>9112.451631729</v>
      </c>
      <c r="Z66" s="65" t="n">
        <f aca="false">Z17*(MIN(Assumptions!$D$84*IF(Assumptions!Z$191=2027,1+Assumptions!$F$175,1)/12,Assumptions!Z$202)*Assumptions!Z$203+(Assumptions!Z$205*MAX(0,MIN(Assumptions!$D$84*IF(Assumptions!Z$191=2027,1+Assumptions!$F$175,1)/12,1.1*Assumptions!Z$202)-Assumptions!Z$202)+Assumptions!Z$207*MAX(0,MIN(Assumptions!$D$84*IF(Assumptions!Z$191=2027,1+Assumptions!$F$175,1)/12,1.5*Assumptions!Z$202)-1.1*Assumptions!Z$202)+Assumptions!Z$209*MAX(0,Assumptions!$D$84*IF(Assumptions!Z$191=2027,1+Assumptions!$F$175,1)/12-1.5*Assumptions!Z$202)))</f>
        <v>9112.44490438623</v>
      </c>
      <c r="AA66" s="65" t="n">
        <f aca="false">AA17*(MIN(Assumptions!$D$84*IF(Assumptions!AA$191=2027,1+Assumptions!$F$175,1)/12,Assumptions!AA$202)*Assumptions!AA$203+(Assumptions!AA$205*MAX(0,MIN(Assumptions!$D$84*IF(Assumptions!AA$191=2027,1+Assumptions!$F$175,1)/12,1.1*Assumptions!AA$202)-Assumptions!AA$202)+Assumptions!AA$207*MAX(0,MIN(Assumptions!$D$84*IF(Assumptions!AA$191=2027,1+Assumptions!$F$175,1)/12,1.5*Assumptions!AA$202)-1.1*Assumptions!AA$202)+Assumptions!AA$209*MAX(0,Assumptions!$D$84*IF(Assumptions!AA$191=2027,1+Assumptions!$F$175,1)/12-1.5*Assumptions!AA$202)))</f>
        <v>9112.44279329856</v>
      </c>
      <c r="AB66" s="65" t="n">
        <f aca="false">AB17*(MIN(Assumptions!$D$84*IF(Assumptions!AB$191=2027,1+Assumptions!$F$175,1)/12,Assumptions!AB$202)*Assumptions!AB$203+(Assumptions!AB$205*MAX(0,MIN(Assumptions!$D$84*IF(Assumptions!AB$191=2027,1+Assumptions!$F$175,1)/12,1.1*Assumptions!AB$202)-Assumptions!AB$202)+Assumptions!AB$207*MAX(0,MIN(Assumptions!$D$84*IF(Assumptions!AB$191=2027,1+Assumptions!$F$175,1)/12,1.5*Assumptions!AB$202)-1.1*Assumptions!AB$202)+Assumptions!AB$209*MAX(0,Assumptions!$D$84*IF(Assumptions!AB$191=2027,1+Assumptions!$F$175,1)/12-1.5*Assumptions!AB$202)))</f>
        <v>9112.44290377894</v>
      </c>
    </row>
    <row r="67" customFormat="false" ht="15" hidden="false" customHeight="false" outlineLevel="0" collapsed="false">
      <c r="A67" s="28" t="s">
        <v>1116</v>
      </c>
      <c r="B67" s="63" t="s">
        <v>1107</v>
      </c>
      <c r="C67" s="64" t="n">
        <f aca="false">SUM(E67:P67)</f>
        <v>19758.7274375811</v>
      </c>
      <c r="D67" s="64" t="n">
        <f aca="false">SUM(Q67:AB67)</f>
        <v>20016.0164177548</v>
      </c>
      <c r="E67" s="65" t="n">
        <f aca="false">E18*(MIN(Assumptions!$D$85*IF(Assumptions!E$191=2027,1+Assumptions!$F$175,1)/12,Assumptions!E$202)*Assumptions!E$203+(Assumptions!E$205*MAX(0,MIN(Assumptions!$D$85*IF(Assumptions!E$191=2027,1+Assumptions!$F$175,1)/12,1.1*Assumptions!E$202)-Assumptions!E$202)+Assumptions!E$207*MAX(0,MIN(Assumptions!$D$85*IF(Assumptions!E$191=2027,1+Assumptions!$F$175,1)/12,1.5*Assumptions!E$202)-1.1*Assumptions!E$202)+Assumptions!E$209*MAX(0,Assumptions!$D$85*IF(Assumptions!E$191=2027,1+Assumptions!$F$175,1)/12-1.5*Assumptions!E$202)))</f>
        <v>1666.33531733333</v>
      </c>
      <c r="F67" s="65" t="n">
        <f aca="false">F18*(MIN(Assumptions!$D$85*IF(Assumptions!F$191=2027,1+Assumptions!$F$175,1)/12,Assumptions!F$202)*Assumptions!F$203+(Assumptions!F$205*MAX(0,MIN(Assumptions!$D$85*IF(Assumptions!F$191=2027,1+Assumptions!$F$175,1)/12,1.1*Assumptions!F$202)-Assumptions!F$202)+Assumptions!F$207*MAX(0,MIN(Assumptions!$D$85*IF(Assumptions!F$191=2027,1+Assumptions!$F$175,1)/12,1.5*Assumptions!F$202)-1.1*Assumptions!F$202)+Assumptions!F$209*MAX(0,Assumptions!$D$85*IF(Assumptions!F$191=2027,1+Assumptions!$F$175,1)/12-1.5*Assumptions!F$202)))</f>
        <v>1666.33531733333</v>
      </c>
      <c r="G67" s="65" t="n">
        <f aca="false">G18*(MIN(Assumptions!$D$85*IF(Assumptions!G$191=2027,1+Assumptions!$F$175,1)/12,Assumptions!G$202)*Assumptions!G$203+(Assumptions!G$205*MAX(0,MIN(Assumptions!$D$85*IF(Assumptions!G$191=2027,1+Assumptions!$F$175,1)/12,1.1*Assumptions!G$202)-Assumptions!G$202)+Assumptions!G$207*MAX(0,MIN(Assumptions!$D$85*IF(Assumptions!G$191=2027,1+Assumptions!$F$175,1)/12,1.5*Assumptions!G$202)-1.1*Assumptions!G$202)+Assumptions!G$209*MAX(0,Assumptions!$D$85*IF(Assumptions!G$191=2027,1+Assumptions!$F$175,1)/12-1.5*Assumptions!G$202)))</f>
        <v>1666.33531733333</v>
      </c>
      <c r="H67" s="65" t="n">
        <f aca="false">H18*(MIN(Assumptions!$D$85*IF(Assumptions!H$191=2027,1+Assumptions!$F$175,1)/12,Assumptions!H$202)*Assumptions!H$203+(Assumptions!H$205*MAX(0,MIN(Assumptions!$D$85*IF(Assumptions!H$191=2027,1+Assumptions!$F$175,1)/12,1.1*Assumptions!H$202)-Assumptions!H$202)+Assumptions!H$207*MAX(0,MIN(Assumptions!$D$85*IF(Assumptions!H$191=2027,1+Assumptions!$F$175,1)/12,1.5*Assumptions!H$202)-1.1*Assumptions!H$202)+Assumptions!H$209*MAX(0,Assumptions!$D$85*IF(Assumptions!H$191=2027,1+Assumptions!$F$175,1)/12-1.5*Assumptions!H$202)))</f>
        <v>1666.33531733333</v>
      </c>
      <c r="I67" s="65" t="n">
        <f aca="false">I18*(MIN(Assumptions!$D$85*IF(Assumptions!I$191=2027,1+Assumptions!$F$175,1)/12,Assumptions!I$202)*Assumptions!I$203+(Assumptions!I$205*MAX(0,MIN(Assumptions!$D$85*IF(Assumptions!I$191=2027,1+Assumptions!$F$175,1)/12,1.1*Assumptions!I$202)-Assumptions!I$202)+Assumptions!I$207*MAX(0,MIN(Assumptions!$D$85*IF(Assumptions!I$191=2027,1+Assumptions!$F$175,1)/12,1.5*Assumptions!I$202)-1.1*Assumptions!I$202)+Assumptions!I$209*MAX(0,Assumptions!$D$85*IF(Assumptions!I$191=2027,1+Assumptions!$F$175,1)/12-1.5*Assumptions!I$202)))</f>
        <v>1666.33531733333</v>
      </c>
      <c r="J67" s="65" t="n">
        <f aca="false">J18*(MIN(Assumptions!$D$85*IF(Assumptions!J$191=2027,1+Assumptions!$F$175,1)/12,Assumptions!J$202)*Assumptions!J$203+(Assumptions!J$205*MAX(0,MIN(Assumptions!$D$85*IF(Assumptions!J$191=2027,1+Assumptions!$F$175,1)/12,1.1*Assumptions!J$202)-Assumptions!J$202)+Assumptions!J$207*MAX(0,MIN(Assumptions!$D$85*IF(Assumptions!J$191=2027,1+Assumptions!$F$175,1)/12,1.5*Assumptions!J$202)-1.1*Assumptions!J$202)+Assumptions!J$209*MAX(0,Assumptions!$D$85*IF(Assumptions!J$191=2027,1+Assumptions!$F$175,1)/12-1.5*Assumptions!J$202)))</f>
        <v>1666.33531733333</v>
      </c>
      <c r="K67" s="65" t="n">
        <f aca="false">K18*(MIN(Assumptions!$D$85*IF(Assumptions!K$191=2027,1+Assumptions!$F$175,1)/12,Assumptions!K$202)*Assumptions!K$203+(Assumptions!K$205*MAX(0,MIN(Assumptions!$D$85*IF(Assumptions!K$191=2027,1+Assumptions!$F$175,1)/12,1.1*Assumptions!K$202)-Assumptions!K$202)+Assumptions!K$207*MAX(0,MIN(Assumptions!$D$85*IF(Assumptions!K$191=2027,1+Assumptions!$F$175,1)/12,1.5*Assumptions!K$202)-1.1*Assumptions!K$202)+Assumptions!K$209*MAX(0,Assumptions!$D$85*IF(Assumptions!K$191=2027,1+Assumptions!$F$175,1)/12-1.5*Assumptions!K$202)))</f>
        <v>1666.33531733333</v>
      </c>
      <c r="L67" s="65" t="n">
        <f aca="false">L18*(MIN(Assumptions!$D$85*IF(Assumptions!L$191=2027,1+Assumptions!$F$175,1)/12,Assumptions!L$202)*Assumptions!L$203+(Assumptions!L$205*MAX(0,MIN(Assumptions!$D$85*IF(Assumptions!L$191=2027,1+Assumptions!$F$175,1)/12,1.1*Assumptions!L$202)-Assumptions!L$202)+Assumptions!L$207*MAX(0,MIN(Assumptions!$D$85*IF(Assumptions!L$191=2027,1+Assumptions!$F$175,1)/12,1.5*Assumptions!L$202)-1.1*Assumptions!L$202)+Assumptions!L$209*MAX(0,Assumptions!$D$85*IF(Assumptions!L$191=2027,1+Assumptions!$F$175,1)/12-1.5*Assumptions!L$202)))</f>
        <v>1666.33531733333</v>
      </c>
      <c r="M67" s="65" t="n">
        <f aca="false">M18*(MIN(Assumptions!$D$85*IF(Assumptions!M$191=2027,1+Assumptions!$F$175,1)/12,Assumptions!M$202)*Assumptions!M$203+(Assumptions!M$205*MAX(0,MIN(Assumptions!$D$85*IF(Assumptions!M$191=2027,1+Assumptions!$F$175,1)/12,1.1*Assumptions!M$202)-Assumptions!M$202)+Assumptions!M$207*MAX(0,MIN(Assumptions!$D$85*IF(Assumptions!M$191=2027,1+Assumptions!$F$175,1)/12,1.5*Assumptions!M$202)-1.1*Assumptions!M$202)+Assumptions!M$209*MAX(0,Assumptions!$D$85*IF(Assumptions!M$191=2027,1+Assumptions!$F$175,1)/12-1.5*Assumptions!M$202)))</f>
        <v>1631.61999822222</v>
      </c>
      <c r="N67" s="65" t="n">
        <f aca="false">N18*(MIN(Assumptions!$D$85*IF(Assumptions!N$191=2027,1+Assumptions!$F$175,1)/12,Assumptions!N$202)*Assumptions!N$203+(Assumptions!N$205*MAX(0,MIN(Assumptions!$D$85*IF(Assumptions!N$191=2027,1+Assumptions!$F$175,1)/12,1.1*Assumptions!N$202)-Assumptions!N$202)+Assumptions!N$207*MAX(0,MIN(Assumptions!$D$85*IF(Assumptions!N$191=2027,1+Assumptions!$F$175,1)/12,1.5*Assumptions!N$202)-1.1*Assumptions!N$202)+Assumptions!N$209*MAX(0,Assumptions!$D$85*IF(Assumptions!N$191=2027,1+Assumptions!$F$175,1)/12-1.5*Assumptions!N$202)))</f>
        <v>1597.62791492593</v>
      </c>
      <c r="O67" s="65" t="n">
        <f aca="false">O18*(MIN(Assumptions!$D$85*IF(Assumptions!O$191=2027,1+Assumptions!$F$175,1)/12,Assumptions!O$202)*Assumptions!O$203+(Assumptions!O$205*MAX(0,MIN(Assumptions!$D$85*IF(Assumptions!O$191=2027,1+Assumptions!$F$175,1)/12,1.1*Assumptions!O$202)-Assumptions!O$202)+Assumptions!O$207*MAX(0,MIN(Assumptions!$D$85*IF(Assumptions!O$191=2027,1+Assumptions!$F$175,1)/12,1.5*Assumptions!O$202)-1.1*Assumptions!O$202)+Assumptions!O$209*MAX(0,Assumptions!$D$85*IF(Assumptions!O$191=2027,1+Assumptions!$F$175,1)/12-1.5*Assumptions!O$202)))</f>
        <v>1599.05931914275</v>
      </c>
      <c r="P67" s="65" t="n">
        <f aca="false">P18*(MIN(Assumptions!$D$85*IF(Assumptions!P$191=2027,1+Assumptions!$F$175,1)/12,Assumptions!P$202)*Assumptions!P$203+(Assumptions!P$205*MAX(0,MIN(Assumptions!$D$85*IF(Assumptions!P$191=2027,1+Assumptions!$F$175,1)/12,1.1*Assumptions!P$202)-Assumptions!P$202)+Assumptions!P$207*MAX(0,MIN(Assumptions!$D$85*IF(Assumptions!P$191=2027,1+Assumptions!$F$175,1)/12,1.5*Assumptions!P$202)-1.1*Assumptions!P$202)+Assumptions!P$209*MAX(0,Assumptions!$D$85*IF(Assumptions!P$191=2027,1+Assumptions!$F$175,1)/12-1.5*Assumptions!P$202)))</f>
        <v>1599.73766662357</v>
      </c>
      <c r="Q67" s="65" t="n">
        <f aca="false">Q18*(MIN(Assumptions!$D$85*IF(Assumptions!Q$191=2027,1+Assumptions!$F$175,1)/12,Assumptions!Q$202)*Assumptions!Q$203+(Assumptions!Q$205*MAX(0,MIN(Assumptions!$D$85*IF(Assumptions!Q$191=2027,1+Assumptions!$F$175,1)/12,1.1*Assumptions!Q$202)-Assumptions!Q$202)+Assumptions!Q$207*MAX(0,MIN(Assumptions!$D$85*IF(Assumptions!Q$191=2027,1+Assumptions!$F$175,1)/12,1.5*Assumptions!Q$202)-1.1*Assumptions!Q$202)+Assumptions!Q$209*MAX(0,Assumptions!$D$85*IF(Assumptions!Q$191=2027,1+Assumptions!$F$175,1)/12-1.5*Assumptions!Q$202)))</f>
        <v>1668.0127931497</v>
      </c>
      <c r="R67" s="65" t="n">
        <f aca="false">R18*(MIN(Assumptions!$D$85*IF(Assumptions!R$191=2027,1+Assumptions!$F$175,1)/12,Assumptions!R$202)*Assumptions!R$203+(Assumptions!R$205*MAX(0,MIN(Assumptions!$D$85*IF(Assumptions!R$191=2027,1+Assumptions!$F$175,1)/12,1.1*Assumptions!R$202)-Assumptions!R$202)+Assumptions!R$207*MAX(0,MIN(Assumptions!$D$85*IF(Assumptions!R$191=2027,1+Assumptions!$F$175,1)/12,1.5*Assumptions!R$202)-1.1*Assumptions!R$202)+Assumptions!R$209*MAX(0,Assumptions!$D$85*IF(Assumptions!R$191=2027,1+Assumptions!$F$175,1)/12-1.5*Assumptions!R$202)))</f>
        <v>1667.9990121543</v>
      </c>
      <c r="S67" s="65" t="n">
        <f aca="false">S18*(MIN(Assumptions!$D$85*IF(Assumptions!S$191=2027,1+Assumptions!$F$175,1)/12,Assumptions!S$202)*Assumptions!S$203+(Assumptions!S$205*MAX(0,MIN(Assumptions!$D$85*IF(Assumptions!S$191=2027,1+Assumptions!$F$175,1)/12,1.1*Assumptions!S$202)-Assumptions!S$202)+Assumptions!S$207*MAX(0,MIN(Assumptions!$D$85*IF(Assumptions!S$191=2027,1+Assumptions!$F$175,1)/12,1.5*Assumptions!S$202)-1.1*Assumptions!S$202)+Assumptions!S$209*MAX(0,Assumptions!$D$85*IF(Assumptions!S$191=2027,1+Assumptions!$F$175,1)/12-1.5*Assumptions!S$202)))</f>
        <v>1668.00025405617</v>
      </c>
      <c r="T67" s="65" t="n">
        <f aca="false">T18*(MIN(Assumptions!$D$85*IF(Assumptions!T$191=2027,1+Assumptions!$F$175,1)/12,Assumptions!T$202)*Assumptions!T$203+(Assumptions!T$205*MAX(0,MIN(Assumptions!$D$85*IF(Assumptions!T$191=2027,1+Assumptions!$F$175,1)/12,1.1*Assumptions!T$202)-Assumptions!T$202)+Assumptions!T$207*MAX(0,MIN(Assumptions!$D$85*IF(Assumptions!T$191=2027,1+Assumptions!$F$175,1)/12,1.5*Assumptions!T$202)-1.1*Assumptions!T$202)+Assumptions!T$209*MAX(0,Assumptions!$D$85*IF(Assumptions!T$191=2027,1+Assumptions!$F$175,1)/12-1.5*Assumptions!T$202)))</f>
        <v>1668.00051528728</v>
      </c>
      <c r="U67" s="65" t="n">
        <f aca="false">U18*(MIN(Assumptions!$D$85*IF(Assumptions!U$191=2027,1+Assumptions!$F$175,1)/12,Assumptions!U$202)*Assumptions!U$203+(Assumptions!U$205*MAX(0,MIN(Assumptions!$D$85*IF(Assumptions!U$191=2027,1+Assumptions!$F$175,1)/12,1.1*Assumptions!U$202)-Assumptions!U$202)+Assumptions!U$207*MAX(0,MIN(Assumptions!$D$85*IF(Assumptions!U$191=2027,1+Assumptions!$F$175,1)/12,1.5*Assumptions!U$202)-1.1*Assumptions!U$202)+Assumptions!U$209*MAX(0,Assumptions!$D$85*IF(Assumptions!U$191=2027,1+Assumptions!$F$175,1)/12-1.5*Assumptions!U$202)))</f>
        <v>1668.00048397201</v>
      </c>
      <c r="V67" s="65" t="n">
        <f aca="false">V18*(MIN(Assumptions!$D$85*IF(Assumptions!V$191=2027,1+Assumptions!$F$175,1)/12,Assumptions!V$202)*Assumptions!V$203+(Assumptions!V$205*MAX(0,MIN(Assumptions!$D$85*IF(Assumptions!V$191=2027,1+Assumptions!$F$175,1)/12,1.1*Assumptions!V$202)-Assumptions!V$202)+Assumptions!V$207*MAX(0,MIN(Assumptions!$D$85*IF(Assumptions!V$191=2027,1+Assumptions!$F$175,1)/12,1.5*Assumptions!V$202)-1.1*Assumptions!V$202)+Assumptions!V$209*MAX(0,Assumptions!$D$85*IF(Assumptions!V$191=2027,1+Assumptions!$F$175,1)/12-1.5*Assumptions!V$202)))</f>
        <v>1668.0004791821</v>
      </c>
      <c r="W67" s="65" t="n">
        <f aca="false">W18*(MIN(Assumptions!$D$85*IF(Assumptions!W$191=2027,1+Assumptions!$F$175,1)/12,Assumptions!W$202)*Assumptions!W$203+(Assumptions!W$205*MAX(0,MIN(Assumptions!$D$85*IF(Assumptions!W$191=2027,1+Assumptions!$F$175,1)/12,1.1*Assumptions!W$202)-Assumptions!W$202)+Assumptions!W$207*MAX(0,MIN(Assumptions!$D$85*IF(Assumptions!W$191=2027,1+Assumptions!$F$175,1)/12,1.5*Assumptions!W$202)-1.1*Assumptions!W$202)+Assumptions!W$209*MAX(0,Assumptions!$D$85*IF(Assumptions!W$191=2027,1+Assumptions!$F$175,1)/12-1.5*Assumptions!W$202)))</f>
        <v>1668.00047993429</v>
      </c>
      <c r="X67" s="65" t="n">
        <f aca="false">X18*(MIN(Assumptions!$D$85*IF(Assumptions!X$191=2027,1+Assumptions!$F$175,1)/12,Assumptions!X$202)*Assumptions!X$203+(Assumptions!X$205*MAX(0,MIN(Assumptions!$D$85*IF(Assumptions!X$191=2027,1+Assumptions!$F$175,1)/12,1.1*Assumptions!X$202)-Assumptions!X$202)+Assumptions!X$207*MAX(0,MIN(Assumptions!$D$85*IF(Assumptions!X$191=2027,1+Assumptions!$F$175,1)/12,1.5*Assumptions!X$202)-1.1*Assumptions!X$202)+Assumptions!X$209*MAX(0,Assumptions!$D$85*IF(Assumptions!X$191=2027,1+Assumptions!$F$175,1)/12-1.5*Assumptions!X$202)))</f>
        <v>1668.00048001841</v>
      </c>
      <c r="Y67" s="65" t="n">
        <f aca="false">Y18*(MIN(Assumptions!$D$85*IF(Assumptions!Y$191=2027,1+Assumptions!$F$175,1)/12,Assumptions!Y$202)*Assumptions!Y$203+(Assumptions!Y$205*MAX(0,MIN(Assumptions!$D$85*IF(Assumptions!Y$191=2027,1+Assumptions!$F$175,1)/12,1.1*Assumptions!Y$202)-Assumptions!Y$202)+Assumptions!Y$207*MAX(0,MIN(Assumptions!$D$85*IF(Assumptions!Y$191=2027,1+Assumptions!$F$175,1)/12,1.5*Assumptions!Y$202)-1.1*Assumptions!Y$202)+Assumptions!Y$209*MAX(0,Assumptions!$D$85*IF(Assumptions!Y$191=2027,1+Assumptions!$F$175,1)/12-1.5*Assumptions!Y$202)))</f>
        <v>1668.00048000099</v>
      </c>
      <c r="Z67" s="65" t="n">
        <f aca="false">Z18*(MIN(Assumptions!$D$85*IF(Assumptions!Z$191=2027,1+Assumptions!$F$175,1)/12,Assumptions!Z$202)*Assumptions!Z$203+(Assumptions!Z$205*MAX(0,MIN(Assumptions!$D$85*IF(Assumptions!Z$191=2027,1+Assumptions!$F$175,1)/12,1.1*Assumptions!Z$202)-Assumptions!Z$202)+Assumptions!Z$207*MAX(0,MIN(Assumptions!$D$85*IF(Assumptions!Z$191=2027,1+Assumptions!$F$175,1)/12,1.5*Assumptions!Z$202)-1.1*Assumptions!Z$202)+Assumptions!Z$209*MAX(0,Assumptions!$D$85*IF(Assumptions!Z$191=2027,1+Assumptions!$F$175,1)/12-1.5*Assumptions!Z$202)))</f>
        <v>1668.0004799996</v>
      </c>
      <c r="AA67" s="65" t="n">
        <f aca="false">AA18*(MIN(Assumptions!$D$85*IF(Assumptions!AA$191=2027,1+Assumptions!$F$175,1)/12,Assumptions!AA$202)*Assumptions!AA$203+(Assumptions!AA$205*MAX(0,MIN(Assumptions!$D$85*IF(Assumptions!AA$191=2027,1+Assumptions!$F$175,1)/12,1.1*Assumptions!AA$202)-Assumptions!AA$202)+Assumptions!AA$207*MAX(0,MIN(Assumptions!$D$85*IF(Assumptions!AA$191=2027,1+Assumptions!$F$175,1)/12,1.5*Assumptions!AA$202)-1.1*Assumptions!AA$202)+Assumptions!AA$209*MAX(0,Assumptions!$D$85*IF(Assumptions!AA$191=2027,1+Assumptions!$F$175,1)/12-1.5*Assumptions!AA$202)))</f>
        <v>1668.00047999999</v>
      </c>
      <c r="AB67" s="65" t="n">
        <f aca="false">AB18*(MIN(Assumptions!$D$85*IF(Assumptions!AB$191=2027,1+Assumptions!$F$175,1)/12,Assumptions!AB$202)*Assumptions!AB$203+(Assumptions!AB$205*MAX(0,MIN(Assumptions!$D$85*IF(Assumptions!AB$191=2027,1+Assumptions!$F$175,1)/12,1.1*Assumptions!AB$202)-Assumptions!AB$202)+Assumptions!AB$207*MAX(0,MIN(Assumptions!$D$85*IF(Assumptions!AB$191=2027,1+Assumptions!$F$175,1)/12,1.5*Assumptions!AB$202)-1.1*Assumptions!AB$202)+Assumptions!AB$209*MAX(0,Assumptions!$D$85*IF(Assumptions!AB$191=2027,1+Assumptions!$F$175,1)/12-1.5*Assumptions!AB$202)))</f>
        <v>1668.00048000001</v>
      </c>
    </row>
    <row r="68" customFormat="false" ht="15" hidden="false" customHeight="false" outlineLevel="0" collapsed="false">
      <c r="A68" s="28" t="s">
        <v>1117</v>
      </c>
      <c r="B68" s="63" t="s">
        <v>1107</v>
      </c>
      <c r="C68" s="64" t="n">
        <f aca="false">SUM(E68:P68)</f>
        <v>121575.125650477</v>
      </c>
      <c r="D68" s="64" t="n">
        <f aca="false">SUM(Q68:AB68)</f>
        <v>158659.661975597</v>
      </c>
      <c r="E68" s="65" t="n">
        <f aca="false">E19*(MIN(Assumptions!$D$86*IF(Assumptions!E$191=2027,1+Assumptions!$F$175,1)/12,Assumptions!E$202)*Assumptions!E$203+(Assumptions!E$205*MAX(0,MIN(Assumptions!$D$86*IF(Assumptions!E$191=2027,1+Assumptions!$F$175,1)/12,1.1*Assumptions!E$202)-Assumptions!E$202)+Assumptions!E$207*MAX(0,MIN(Assumptions!$D$86*IF(Assumptions!E$191=2027,1+Assumptions!$F$175,1)/12,1.5*Assumptions!E$202)-1.1*Assumptions!E$202)+Assumptions!E$209*MAX(0,Assumptions!$D$86*IF(Assumptions!E$191=2027,1+Assumptions!$F$175,1)/12-1.5*Assumptions!E$202)))</f>
        <v>9645</v>
      </c>
      <c r="F68" s="65" t="n">
        <f aca="false">F19*(MIN(Assumptions!$D$86*IF(Assumptions!F$191=2027,1+Assumptions!$F$175,1)/12,Assumptions!F$202)*Assumptions!F$203+(Assumptions!F$205*MAX(0,MIN(Assumptions!$D$86*IF(Assumptions!F$191=2027,1+Assumptions!$F$175,1)/12,1.1*Assumptions!F$202)-Assumptions!F$202)+Assumptions!F$207*MAX(0,MIN(Assumptions!$D$86*IF(Assumptions!F$191=2027,1+Assumptions!$F$175,1)/12,1.5*Assumptions!F$202)-1.1*Assumptions!F$202)+Assumptions!F$209*MAX(0,Assumptions!$D$86*IF(Assumptions!F$191=2027,1+Assumptions!$F$175,1)/12-1.5*Assumptions!F$202)))</f>
        <v>9645</v>
      </c>
      <c r="G68" s="65" t="n">
        <f aca="false">G19*(MIN(Assumptions!$D$86*IF(Assumptions!G$191=2027,1+Assumptions!$F$175,1)/12,Assumptions!G$202)*Assumptions!G$203+(Assumptions!G$205*MAX(0,MIN(Assumptions!$D$86*IF(Assumptions!G$191=2027,1+Assumptions!$F$175,1)/12,1.1*Assumptions!G$202)-Assumptions!G$202)+Assumptions!G$207*MAX(0,MIN(Assumptions!$D$86*IF(Assumptions!G$191=2027,1+Assumptions!$F$175,1)/12,1.5*Assumptions!G$202)-1.1*Assumptions!G$202)+Assumptions!G$209*MAX(0,Assumptions!$D$86*IF(Assumptions!G$191=2027,1+Assumptions!$F$175,1)/12-1.5*Assumptions!G$202)))</f>
        <v>9645</v>
      </c>
      <c r="H68" s="65" t="n">
        <f aca="false">H19*(MIN(Assumptions!$D$86*IF(Assumptions!H$191=2027,1+Assumptions!$F$175,1)/12,Assumptions!H$202)*Assumptions!H$203+(Assumptions!H$205*MAX(0,MIN(Assumptions!$D$86*IF(Assumptions!H$191=2027,1+Assumptions!$F$175,1)/12,1.1*Assumptions!H$202)-Assumptions!H$202)+Assumptions!H$207*MAX(0,MIN(Assumptions!$D$86*IF(Assumptions!H$191=2027,1+Assumptions!$F$175,1)/12,1.5*Assumptions!H$202)-1.1*Assumptions!H$202)+Assumptions!H$209*MAX(0,Assumptions!$D$86*IF(Assumptions!H$191=2027,1+Assumptions!$F$175,1)/12-1.5*Assumptions!H$202)))</f>
        <v>10850.625</v>
      </c>
      <c r="I68" s="65" t="n">
        <f aca="false">I19*(MIN(Assumptions!$D$86*IF(Assumptions!I$191=2027,1+Assumptions!$F$175,1)/12,Assumptions!I$202)*Assumptions!I$203+(Assumptions!I$205*MAX(0,MIN(Assumptions!$D$86*IF(Assumptions!I$191=2027,1+Assumptions!$F$175,1)/12,1.1*Assumptions!I$202)-Assumptions!I$202)+Assumptions!I$207*MAX(0,MIN(Assumptions!$D$86*IF(Assumptions!I$191=2027,1+Assumptions!$F$175,1)/12,1.5*Assumptions!I$202)-1.1*Assumptions!I$202)+Assumptions!I$209*MAX(0,Assumptions!$D$86*IF(Assumptions!I$191=2027,1+Assumptions!$F$175,1)/12-1.5*Assumptions!I$202)))</f>
        <v>10850.625</v>
      </c>
      <c r="J68" s="65" t="n">
        <f aca="false">J19*(MIN(Assumptions!$D$86*IF(Assumptions!J$191=2027,1+Assumptions!$F$175,1)/12,Assumptions!J$202)*Assumptions!J$203+(Assumptions!J$205*MAX(0,MIN(Assumptions!$D$86*IF(Assumptions!J$191=2027,1+Assumptions!$F$175,1)/12,1.1*Assumptions!J$202)-Assumptions!J$202)+Assumptions!J$207*MAX(0,MIN(Assumptions!$D$86*IF(Assumptions!J$191=2027,1+Assumptions!$F$175,1)/12,1.5*Assumptions!J$202)-1.1*Assumptions!J$202)+Assumptions!J$209*MAX(0,Assumptions!$D$86*IF(Assumptions!J$191=2027,1+Assumptions!$F$175,1)/12-1.5*Assumptions!J$202)))</f>
        <v>10850.625</v>
      </c>
      <c r="K68" s="65" t="n">
        <f aca="false">K19*(MIN(Assumptions!$D$86*IF(Assumptions!K$191=2027,1+Assumptions!$F$175,1)/12,Assumptions!K$202)*Assumptions!K$203+(Assumptions!K$205*MAX(0,MIN(Assumptions!$D$86*IF(Assumptions!K$191=2027,1+Assumptions!$F$175,1)/12,1.1*Assumptions!K$202)-Assumptions!K$202)+Assumptions!K$207*MAX(0,MIN(Assumptions!$D$86*IF(Assumptions!K$191=2027,1+Assumptions!$F$175,1)/12,1.5*Assumptions!K$202)-1.1*Assumptions!K$202)+Assumptions!K$209*MAX(0,Assumptions!$D$86*IF(Assumptions!K$191=2027,1+Assumptions!$F$175,1)/12-1.5*Assumptions!K$202)))</f>
        <v>10850.625</v>
      </c>
      <c r="L68" s="65" t="n">
        <f aca="false">L19*(MIN(Assumptions!$D$86*IF(Assumptions!L$191=2027,1+Assumptions!$F$175,1)/12,Assumptions!L$202)*Assumptions!L$203+(Assumptions!L$205*MAX(0,MIN(Assumptions!$D$86*IF(Assumptions!L$191=2027,1+Assumptions!$F$175,1)/12,1.1*Assumptions!L$202)-Assumptions!L$202)+Assumptions!L$207*MAX(0,MIN(Assumptions!$D$86*IF(Assumptions!L$191=2027,1+Assumptions!$F$175,1)/12,1.5*Assumptions!L$202)-1.1*Assumptions!L$202)+Assumptions!L$209*MAX(0,Assumptions!$D$86*IF(Assumptions!L$191=2027,1+Assumptions!$F$175,1)/12-1.5*Assumptions!L$202)))</f>
        <v>9645</v>
      </c>
      <c r="M68" s="65" t="n">
        <f aca="false">M19*(MIN(Assumptions!$D$86*IF(Assumptions!M$191=2027,1+Assumptions!$F$175,1)/12,Assumptions!M$202)*Assumptions!M$203+(Assumptions!M$205*MAX(0,MIN(Assumptions!$D$86*IF(Assumptions!M$191=2027,1+Assumptions!$F$175,1)/12,1.1*Assumptions!M$202)-Assumptions!M$202)+Assumptions!M$207*MAX(0,MIN(Assumptions!$D$86*IF(Assumptions!M$191=2027,1+Assumptions!$F$175,1)/12,1.5*Assumptions!M$202)-1.1*Assumptions!M$202)+Assumptions!M$209*MAX(0,Assumptions!$D$86*IF(Assumptions!M$191=2027,1+Assumptions!$F$175,1)/12-1.5*Assumptions!M$202)))</f>
        <v>9444.0625</v>
      </c>
      <c r="N68" s="65" t="n">
        <f aca="false">N19*(MIN(Assumptions!$D$86*IF(Assumptions!N$191=2027,1+Assumptions!$F$175,1)/12,Assumptions!N$202)*Assumptions!N$203+(Assumptions!N$205*MAX(0,MIN(Assumptions!$D$86*IF(Assumptions!N$191=2027,1+Assumptions!$F$175,1)/12,1.1*Assumptions!N$202)-Assumptions!N$202)+Assumptions!N$207*MAX(0,MIN(Assumptions!$D$86*IF(Assumptions!N$191=2027,1+Assumptions!$F$175,1)/12,1.5*Assumptions!N$202)-1.1*Assumptions!N$202)+Assumptions!N$209*MAX(0,Assumptions!$D$86*IF(Assumptions!N$191=2027,1+Assumptions!$F$175,1)/12-1.5*Assumptions!N$202)))</f>
        <v>9247.31119791667</v>
      </c>
      <c r="O68" s="65" t="n">
        <f aca="false">O19*(MIN(Assumptions!$D$86*IF(Assumptions!O$191=2027,1+Assumptions!$F$175,1)/12,Assumptions!O$202)*Assumptions!O$203+(Assumptions!O$205*MAX(0,MIN(Assumptions!$D$86*IF(Assumptions!O$191=2027,1+Assumptions!$F$175,1)/12,1.1*Assumptions!O$202)-Assumptions!O$202)+Assumptions!O$207*MAX(0,MIN(Assumptions!$D$86*IF(Assumptions!O$191=2027,1+Assumptions!$F$175,1)/12,1.5*Assumptions!O$202)-1.1*Assumptions!O$202)+Assumptions!O$209*MAX(0,Assumptions!$D$86*IF(Assumptions!O$191=2027,1+Assumptions!$F$175,1)/12-1.5*Assumptions!O$202)))</f>
        <v>10461.2213812934</v>
      </c>
      <c r="P68" s="65" t="n">
        <f aca="false">P19*(MIN(Assumptions!$D$86*IF(Assumptions!P$191=2027,1+Assumptions!$F$175,1)/12,Assumptions!P$202)*Assumptions!P$203+(Assumptions!P$205*MAX(0,MIN(Assumptions!$D$86*IF(Assumptions!P$191=2027,1+Assumptions!$F$175,1)/12,1.1*Assumptions!P$202)-Assumptions!P$202)+Assumptions!P$207*MAX(0,MIN(Assumptions!$D$86*IF(Assumptions!P$191=2027,1+Assumptions!$F$175,1)/12,1.5*Assumptions!P$202)-1.1*Assumptions!P$202)+Assumptions!P$209*MAX(0,Assumptions!$D$86*IF(Assumptions!P$191=2027,1+Assumptions!$F$175,1)/12-1.5*Assumptions!P$202)))</f>
        <v>10440.0305712665</v>
      </c>
      <c r="Q68" s="65" t="n">
        <f aca="false">Q19*(MIN(Assumptions!$D$86*IF(Assumptions!Q$191=2027,1+Assumptions!$F$175,1)/12,Assumptions!Q$202)*Assumptions!Q$203+(Assumptions!Q$205*MAX(0,MIN(Assumptions!$D$86*IF(Assumptions!Q$191=2027,1+Assumptions!$F$175,1)/12,1.1*Assumptions!Q$202)-Assumptions!Q$202)+Assumptions!Q$207*MAX(0,MIN(Assumptions!$D$86*IF(Assumptions!Q$191=2027,1+Assumptions!$F$175,1)/12,1.5*Assumptions!Q$202)-1.1*Assumptions!Q$202)+Assumptions!Q$209*MAX(0,Assumptions!$D$86*IF(Assumptions!Q$191=2027,1+Assumptions!$F$175,1)/12-1.5*Assumptions!Q$202)))</f>
        <v>13308.3909284629</v>
      </c>
      <c r="R68" s="65" t="n">
        <f aca="false">R19*(MIN(Assumptions!$D$86*IF(Assumptions!R$191=2027,1+Assumptions!$F$175,1)/12,Assumptions!R$202)*Assumptions!R$203+(Assumptions!R$205*MAX(0,MIN(Assumptions!$D$86*IF(Assumptions!R$191=2027,1+Assumptions!$F$175,1)/12,1.1*Assumptions!R$202)-Assumptions!R$202)+Assumptions!R$207*MAX(0,MIN(Assumptions!$D$86*IF(Assumptions!R$191=2027,1+Assumptions!$F$175,1)/12,1.5*Assumptions!R$202)-1.1*Assumptions!R$202)+Assumptions!R$209*MAX(0,Assumptions!$D$86*IF(Assumptions!R$191=2027,1+Assumptions!$F$175,1)/12-1.5*Assumptions!R$202)))</f>
        <v>13257.2641643028</v>
      </c>
      <c r="S68" s="65" t="n">
        <f aca="false">S19*(MIN(Assumptions!$D$86*IF(Assumptions!S$191=2027,1+Assumptions!$F$175,1)/12,Assumptions!S$202)*Assumptions!S$203+(Assumptions!S$205*MAX(0,MIN(Assumptions!$D$86*IF(Assumptions!S$191=2027,1+Assumptions!$F$175,1)/12,1.1*Assumptions!S$202)-Assumptions!S$202)+Assumptions!S$207*MAX(0,MIN(Assumptions!$D$86*IF(Assumptions!S$191=2027,1+Assumptions!$F$175,1)/12,1.5*Assumptions!S$202)-1.1*Assumptions!S$202)+Assumptions!S$209*MAX(0,Assumptions!$D$86*IF(Assumptions!S$191=2027,1+Assumptions!$F$175,1)/12-1.5*Assumptions!S$202)))</f>
        <v>13206.7444772341</v>
      </c>
      <c r="T68" s="65" t="n">
        <f aca="false">T19*(MIN(Assumptions!$D$86*IF(Assumptions!T$191=2027,1+Assumptions!$F$175,1)/12,Assumptions!T$202)*Assumptions!T$203+(Assumptions!T$205*MAX(0,MIN(Assumptions!$D$86*IF(Assumptions!T$191=2027,1+Assumptions!$F$175,1)/12,1.1*Assumptions!T$202)-Assumptions!T$202)+Assumptions!T$207*MAX(0,MIN(Assumptions!$D$86*IF(Assumptions!T$191=2027,1+Assumptions!$F$175,1)/12,1.5*Assumptions!T$202)-1.1*Assumptions!T$202)+Assumptions!T$209*MAX(0,Assumptions!$D$86*IF(Assumptions!T$191=2027,1+Assumptions!$F$175,1)/12-1.5*Assumptions!T$202)))</f>
        <v>13208.8621116347</v>
      </c>
      <c r="U68" s="65" t="n">
        <f aca="false">U19*(MIN(Assumptions!$D$86*IF(Assumptions!U$191=2027,1+Assumptions!$F$175,1)/12,Assumptions!U$202)*Assumptions!U$203+(Assumptions!U$205*MAX(0,MIN(Assumptions!$D$86*IF(Assumptions!U$191=2027,1+Assumptions!$F$175,1)/12,1.1*Assumptions!U$202)-Assumptions!U$202)+Assumptions!U$207*MAX(0,MIN(Assumptions!$D$86*IF(Assumptions!U$191=2027,1+Assumptions!$F$175,1)/12,1.5*Assumptions!U$202)-1.1*Assumptions!U$202)+Assumptions!U$209*MAX(0,Assumptions!$D$86*IF(Assumptions!U$191=2027,1+Assumptions!$F$175,1)/12-1.5*Assumptions!U$202)))</f>
        <v>13209.8704877319</v>
      </c>
      <c r="V68" s="65" t="n">
        <f aca="false">V19*(MIN(Assumptions!$D$86*IF(Assumptions!V$191=2027,1+Assumptions!$F$175,1)/12,Assumptions!V$202)*Assumptions!V$203+(Assumptions!V$205*MAX(0,MIN(Assumptions!$D$86*IF(Assumptions!V$191=2027,1+Assumptions!$F$175,1)/12,1.1*Assumptions!V$202)-Assumptions!V$202)+Assumptions!V$207*MAX(0,MIN(Assumptions!$D$86*IF(Assumptions!V$191=2027,1+Assumptions!$F$175,1)/12,1.5*Assumptions!V$202)-1.1*Assumptions!V$202)+Assumptions!V$209*MAX(0,Assumptions!$D$86*IF(Assumptions!V$191=2027,1+Assumptions!$F$175,1)/12-1.5*Assumptions!V$202)))</f>
        <v>13209.8053625132</v>
      </c>
      <c r="W68" s="65" t="n">
        <f aca="false">W19*(MIN(Assumptions!$D$86*IF(Assumptions!W$191=2027,1+Assumptions!$F$175,1)/12,Assumptions!W$202)*Assumptions!W$203+(Assumptions!W$205*MAX(0,MIN(Assumptions!$D$86*IF(Assumptions!W$191=2027,1+Assumptions!$F$175,1)/12,1.1*Assumptions!W$202)-Assumptions!W$202)+Assumptions!W$207*MAX(0,MIN(Assumptions!$D$86*IF(Assumptions!W$191=2027,1+Assumptions!$F$175,1)/12,1.5*Assumptions!W$202)-1.1*Assumptions!W$202)+Assumptions!W$209*MAX(0,Assumptions!$D$86*IF(Assumptions!W$191=2027,1+Assumptions!$F$175,1)/12-1.5*Assumptions!W$202)))</f>
        <v>13209.7857114532</v>
      </c>
      <c r="X68" s="65" t="n">
        <f aca="false">X19*(MIN(Assumptions!$D$86*IF(Assumptions!X$191=2027,1+Assumptions!$F$175,1)/12,Assumptions!X$202)*Assumptions!X$203+(Assumptions!X$205*MAX(0,MIN(Assumptions!$D$86*IF(Assumptions!X$191=2027,1+Assumptions!$F$175,1)/12,1.1*Assumptions!X$202)-Assumptions!X$202)+Assumptions!X$207*MAX(0,MIN(Assumptions!$D$86*IF(Assumptions!X$191=2027,1+Assumptions!$F$175,1)/12,1.5*Assumptions!X$202)-1.1*Assumptions!X$202)+Assumptions!X$209*MAX(0,Assumptions!$D$86*IF(Assumptions!X$191=2027,1+Assumptions!$F$175,1)/12-1.5*Assumptions!X$202)))</f>
        <v>13209.7874776257</v>
      </c>
      <c r="Y68" s="65" t="n">
        <f aca="false">Y19*(MIN(Assumptions!$D$86*IF(Assumptions!Y$191=2027,1+Assumptions!$F$175,1)/12,Assumptions!Y$202)*Assumptions!Y$203+(Assumptions!Y$205*MAX(0,MIN(Assumptions!$D$86*IF(Assumptions!Y$191=2027,1+Assumptions!$F$175,1)/12,1.1*Assumptions!Y$202)-Assumptions!Y$202)+Assumptions!Y$207*MAX(0,MIN(Assumptions!$D$86*IF(Assumptions!Y$191=2027,1+Assumptions!$F$175,1)/12,1.5*Assumptions!Y$202)-1.1*Assumptions!Y$202)+Assumptions!Y$209*MAX(0,Assumptions!$D$86*IF(Assumptions!Y$191=2027,1+Assumptions!$F$175,1)/12-1.5*Assumptions!Y$202)))</f>
        <v>13209.7878502275</v>
      </c>
      <c r="Z68" s="65" t="n">
        <f aca="false">Z19*(MIN(Assumptions!$D$86*IF(Assumptions!Z$191=2027,1+Assumptions!$F$175,1)/12,Assumptions!Z$202)*Assumptions!Z$203+(Assumptions!Z$205*MAX(0,MIN(Assumptions!$D$86*IF(Assumptions!Z$191=2027,1+Assumptions!$F$175,1)/12,1.1*Assumptions!Z$202)-Assumptions!Z$202)+Assumptions!Z$207*MAX(0,MIN(Assumptions!$D$86*IF(Assumptions!Z$191=2027,1+Assumptions!$F$175,1)/12,1.5*Assumptions!Z$202)-1.1*Assumptions!Z$202)+Assumptions!Z$209*MAX(0,Assumptions!$D$86*IF(Assumptions!Z$191=2027,1+Assumptions!$F$175,1)/12-1.5*Assumptions!Z$202)))</f>
        <v>13209.7878056697</v>
      </c>
      <c r="AA68" s="65" t="n">
        <f aca="false">AA19*(MIN(Assumptions!$D$86*IF(Assumptions!AA$191=2027,1+Assumptions!$F$175,1)/12,Assumptions!AA$202)*Assumptions!AA$203+(Assumptions!AA$205*MAX(0,MIN(Assumptions!$D$86*IF(Assumptions!AA$191=2027,1+Assumptions!$F$175,1)/12,1.1*Assumptions!AA$202)-Assumptions!AA$202)+Assumptions!AA$207*MAX(0,MIN(Assumptions!$D$86*IF(Assumptions!AA$191=2027,1+Assumptions!$F$175,1)/12,1.5*Assumptions!AA$202)-1.1*Assumptions!AA$202)+Assumptions!AA$209*MAX(0,Assumptions!$D$86*IF(Assumptions!AA$191=2027,1+Assumptions!$F$175,1)/12-1.5*Assumptions!AA$202)))</f>
        <v>13209.7877988355</v>
      </c>
      <c r="AB68" s="65" t="n">
        <f aca="false">AB19*(MIN(Assumptions!$D$86*IF(Assumptions!AB$191=2027,1+Assumptions!$F$175,1)/12,Assumptions!AB$202)*Assumptions!AB$203+(Assumptions!AB$205*MAX(0,MIN(Assumptions!$D$86*IF(Assumptions!AB$191=2027,1+Assumptions!$F$175,1)/12,1.1*Assumptions!AB$202)-Assumptions!AB$202)+Assumptions!AB$207*MAX(0,MIN(Assumptions!$D$86*IF(Assumptions!AB$191=2027,1+Assumptions!$F$175,1)/12,1.5*Assumptions!AB$202)-1.1*Assumptions!AB$202)+Assumptions!AB$209*MAX(0,Assumptions!$D$86*IF(Assumptions!AB$191=2027,1+Assumptions!$F$175,1)/12-1.5*Assumptions!AB$202)))</f>
        <v>13209.7877999061</v>
      </c>
    </row>
    <row r="69" customFormat="false" ht="15" hidden="false" customHeight="false" outlineLevel="0" collapsed="false">
      <c r="A69" s="28" t="s">
        <v>1118</v>
      </c>
      <c r="B69" s="63" t="s">
        <v>1107</v>
      </c>
      <c r="C69" s="64" t="n">
        <f aca="false">SUM(E69:P69)</f>
        <v>51870.6966577224</v>
      </c>
      <c r="D69" s="64" t="n">
        <f aca="false">SUM(Q69:AB69)</f>
        <v>59822.4874483624</v>
      </c>
      <c r="E69" s="65" t="n">
        <f aca="false">E20*(MIN(Assumptions!$D$87*IF(Assumptions!E$191=2027,1+Assumptions!$F$175,1)/12,Assumptions!E$202)*Assumptions!E$203+(Assumptions!E$205*MAX(0,MIN(Assumptions!$D$87*IF(Assumptions!E$191=2027,1+Assumptions!$F$175,1)/12,1.1*Assumptions!E$202)-Assumptions!E$202)+Assumptions!E$207*MAX(0,MIN(Assumptions!$D$87*IF(Assumptions!E$191=2027,1+Assumptions!$F$175,1)/12,1.5*Assumptions!E$202)-1.1*Assumptions!E$202)+Assumptions!E$209*MAX(0,Assumptions!$D$87*IF(Assumptions!E$191=2027,1+Assumptions!$F$175,1)/12-1.5*Assumptions!E$202)))</f>
        <v>3750.83333333333</v>
      </c>
      <c r="F69" s="65" t="n">
        <f aca="false">F20*(MIN(Assumptions!$D$87*IF(Assumptions!F$191=2027,1+Assumptions!$F$175,1)/12,Assumptions!F$202)*Assumptions!F$203+(Assumptions!F$205*MAX(0,MIN(Assumptions!$D$87*IF(Assumptions!F$191=2027,1+Assumptions!$F$175,1)/12,1.1*Assumptions!F$202)-Assumptions!F$202)+Assumptions!F$207*MAX(0,MIN(Assumptions!$D$87*IF(Assumptions!F$191=2027,1+Assumptions!$F$175,1)/12,1.5*Assumptions!F$202)-1.1*Assumptions!F$202)+Assumptions!F$209*MAX(0,Assumptions!$D$87*IF(Assumptions!F$191=2027,1+Assumptions!$F$175,1)/12-1.5*Assumptions!F$202)))</f>
        <v>3750.83333333333</v>
      </c>
      <c r="G69" s="65" t="n">
        <f aca="false">G20*(MIN(Assumptions!$D$87*IF(Assumptions!G$191=2027,1+Assumptions!$F$175,1)/12,Assumptions!G$202)*Assumptions!G$203+(Assumptions!G$205*MAX(0,MIN(Assumptions!$D$87*IF(Assumptions!G$191=2027,1+Assumptions!$F$175,1)/12,1.1*Assumptions!G$202)-Assumptions!G$202)+Assumptions!G$207*MAX(0,MIN(Assumptions!$D$87*IF(Assumptions!G$191=2027,1+Assumptions!$F$175,1)/12,1.5*Assumptions!G$202)-1.1*Assumptions!G$202)+Assumptions!G$209*MAX(0,Assumptions!$D$87*IF(Assumptions!G$191=2027,1+Assumptions!$F$175,1)/12-1.5*Assumptions!G$202)))</f>
        <v>4501</v>
      </c>
      <c r="H69" s="65" t="n">
        <f aca="false">H20*(MIN(Assumptions!$D$87*IF(Assumptions!H$191=2027,1+Assumptions!$F$175,1)/12,Assumptions!H$202)*Assumptions!H$203+(Assumptions!H$205*MAX(0,MIN(Assumptions!$D$87*IF(Assumptions!H$191=2027,1+Assumptions!$F$175,1)/12,1.1*Assumptions!H$202)-Assumptions!H$202)+Assumptions!H$207*MAX(0,MIN(Assumptions!$D$87*IF(Assumptions!H$191=2027,1+Assumptions!$F$175,1)/12,1.5*Assumptions!H$202)-1.1*Assumptions!H$202)+Assumptions!H$209*MAX(0,Assumptions!$D$87*IF(Assumptions!H$191=2027,1+Assumptions!$F$175,1)/12-1.5*Assumptions!H$202)))</f>
        <v>4501</v>
      </c>
      <c r="I69" s="65" t="n">
        <f aca="false">I20*(MIN(Assumptions!$D$87*IF(Assumptions!I$191=2027,1+Assumptions!$F$175,1)/12,Assumptions!I$202)*Assumptions!I$203+(Assumptions!I$205*MAX(0,MIN(Assumptions!$D$87*IF(Assumptions!I$191=2027,1+Assumptions!$F$175,1)/12,1.1*Assumptions!I$202)-Assumptions!I$202)+Assumptions!I$207*MAX(0,MIN(Assumptions!$D$87*IF(Assumptions!I$191=2027,1+Assumptions!$F$175,1)/12,1.5*Assumptions!I$202)-1.1*Assumptions!I$202)+Assumptions!I$209*MAX(0,Assumptions!$D$87*IF(Assumptions!I$191=2027,1+Assumptions!$F$175,1)/12-1.5*Assumptions!I$202)))</f>
        <v>4501</v>
      </c>
      <c r="J69" s="65" t="n">
        <f aca="false">J20*(MIN(Assumptions!$D$87*IF(Assumptions!J$191=2027,1+Assumptions!$F$175,1)/12,Assumptions!J$202)*Assumptions!J$203+(Assumptions!J$205*MAX(0,MIN(Assumptions!$D$87*IF(Assumptions!J$191=2027,1+Assumptions!$F$175,1)/12,1.1*Assumptions!J$202)-Assumptions!J$202)+Assumptions!J$207*MAX(0,MIN(Assumptions!$D$87*IF(Assumptions!J$191=2027,1+Assumptions!$F$175,1)/12,1.5*Assumptions!J$202)-1.1*Assumptions!J$202)+Assumptions!J$209*MAX(0,Assumptions!$D$87*IF(Assumptions!J$191=2027,1+Assumptions!$F$175,1)/12-1.5*Assumptions!J$202)))</f>
        <v>4501</v>
      </c>
      <c r="K69" s="65" t="n">
        <f aca="false">K20*(MIN(Assumptions!$D$87*IF(Assumptions!K$191=2027,1+Assumptions!$F$175,1)/12,Assumptions!K$202)*Assumptions!K$203+(Assumptions!K$205*MAX(0,MIN(Assumptions!$D$87*IF(Assumptions!K$191=2027,1+Assumptions!$F$175,1)/12,1.1*Assumptions!K$202)-Assumptions!K$202)+Assumptions!K$207*MAX(0,MIN(Assumptions!$D$87*IF(Assumptions!K$191=2027,1+Assumptions!$F$175,1)/12,1.5*Assumptions!K$202)-1.1*Assumptions!K$202)+Assumptions!K$209*MAX(0,Assumptions!$D$87*IF(Assumptions!K$191=2027,1+Assumptions!$F$175,1)/12-1.5*Assumptions!K$202)))</f>
        <v>4501</v>
      </c>
      <c r="L69" s="65" t="n">
        <f aca="false">L20*(MIN(Assumptions!$D$87*IF(Assumptions!L$191=2027,1+Assumptions!$F$175,1)/12,Assumptions!L$202)*Assumptions!L$203+(Assumptions!L$205*MAX(0,MIN(Assumptions!$D$87*IF(Assumptions!L$191=2027,1+Assumptions!$F$175,1)/12,1.1*Assumptions!L$202)-Assumptions!L$202)+Assumptions!L$207*MAX(0,MIN(Assumptions!$D$87*IF(Assumptions!L$191=2027,1+Assumptions!$F$175,1)/12,1.5*Assumptions!L$202)-1.1*Assumptions!L$202)+Assumptions!L$209*MAX(0,Assumptions!$D$87*IF(Assumptions!L$191=2027,1+Assumptions!$F$175,1)/12-1.5*Assumptions!L$202)))</f>
        <v>4501</v>
      </c>
      <c r="M69" s="65" t="n">
        <f aca="false">M20*(MIN(Assumptions!$D$87*IF(Assumptions!M$191=2027,1+Assumptions!$F$175,1)/12,Assumptions!M$202)*Assumptions!M$203+(Assumptions!M$205*MAX(0,MIN(Assumptions!$D$87*IF(Assumptions!M$191=2027,1+Assumptions!$F$175,1)/12,1.1*Assumptions!M$202)-Assumptions!M$202)+Assumptions!M$207*MAX(0,MIN(Assumptions!$D$87*IF(Assumptions!M$191=2027,1+Assumptions!$F$175,1)/12,1.5*Assumptions!M$202)-1.1*Assumptions!M$202)+Assumptions!M$209*MAX(0,Assumptions!$D$87*IF(Assumptions!M$191=2027,1+Assumptions!$F$175,1)/12-1.5*Assumptions!M$202)))</f>
        <v>4407.22916666667</v>
      </c>
      <c r="N69" s="65" t="n">
        <f aca="false">N20*(MIN(Assumptions!$D$87*IF(Assumptions!N$191=2027,1+Assumptions!$F$175,1)/12,Assumptions!N$202)*Assumptions!N$203+(Assumptions!N$205*MAX(0,MIN(Assumptions!$D$87*IF(Assumptions!N$191=2027,1+Assumptions!$F$175,1)/12,1.1*Assumptions!N$202)-Assumptions!N$202)+Assumptions!N$207*MAX(0,MIN(Assumptions!$D$87*IF(Assumptions!N$191=2027,1+Assumptions!$F$175,1)/12,1.5*Assumptions!N$202)-1.1*Assumptions!N$202)+Assumptions!N$209*MAX(0,Assumptions!$D$87*IF(Assumptions!N$191=2027,1+Assumptions!$F$175,1)/12-1.5*Assumptions!N$202)))</f>
        <v>4315.41189236111</v>
      </c>
      <c r="O69" s="65" t="n">
        <f aca="false">O20*(MIN(Assumptions!$D$87*IF(Assumptions!O$191=2027,1+Assumptions!$F$175,1)/12,Assumptions!O$202)*Assumptions!O$203+(Assumptions!O$205*MAX(0,MIN(Assumptions!$D$87*IF(Assumptions!O$191=2027,1+Assumptions!$F$175,1)/12,1.1*Assumptions!O$202)-Assumptions!O$202)+Assumptions!O$207*MAX(0,MIN(Assumptions!$D$87*IF(Assumptions!O$191=2027,1+Assumptions!$F$175,1)/12,1.5*Assumptions!O$202)-1.1*Assumptions!O$202)+Assumptions!O$209*MAX(0,Assumptions!$D$87*IF(Assumptions!O$191=2027,1+Assumptions!$F$175,1)/12-1.5*Assumptions!O$202)))</f>
        <v>4319.27831127026</v>
      </c>
      <c r="P69" s="65" t="n">
        <f aca="false">P20*(MIN(Assumptions!$D$87*IF(Assumptions!P$191=2027,1+Assumptions!$F$175,1)/12,Assumptions!P$202)*Assumptions!P$203+(Assumptions!P$205*MAX(0,MIN(Assumptions!$D$87*IF(Assumptions!P$191=2027,1+Assumptions!$F$175,1)/12,1.1*Assumptions!P$202)-Assumptions!P$202)+Assumptions!P$207*MAX(0,MIN(Assumptions!$D$87*IF(Assumptions!P$191=2027,1+Assumptions!$F$175,1)/12,1.5*Assumptions!P$202)-1.1*Assumptions!P$202)+Assumptions!P$209*MAX(0,Assumptions!$D$87*IF(Assumptions!P$191=2027,1+Assumptions!$F$175,1)/12-1.5*Assumptions!P$202)))</f>
        <v>4321.11062075768</v>
      </c>
      <c r="Q69" s="65" t="n">
        <f aca="false">Q20*(MIN(Assumptions!$D$87*IF(Assumptions!Q$191=2027,1+Assumptions!$F$175,1)/12,Assumptions!Q$202)*Assumptions!Q$203+(Assumptions!Q$205*MAX(0,MIN(Assumptions!$D$87*IF(Assumptions!Q$191=2027,1+Assumptions!$F$175,1)/12,1.1*Assumptions!Q$202)-Assumptions!Q$202)+Assumptions!Q$207*MAX(0,MIN(Assumptions!$D$87*IF(Assumptions!Q$191=2027,1+Assumptions!$F$175,1)/12,1.5*Assumptions!Q$202)-1.1*Assumptions!Q$202)+Assumptions!Q$209*MAX(0,Assumptions!$D$87*IF(Assumptions!Q$191=2027,1+Assumptions!$F$175,1)/12-1.5*Assumptions!Q$202)))</f>
        <v>4483.35501580221</v>
      </c>
      <c r="R69" s="65" t="n">
        <f aca="false">R20*(MIN(Assumptions!$D$87*IF(Assumptions!R$191=2027,1+Assumptions!$F$175,1)/12,Assumptions!R$202)*Assumptions!R$203+(Assumptions!R$205*MAX(0,MIN(Assumptions!$D$87*IF(Assumptions!R$191=2027,1+Assumptions!$F$175,1)/12,1.1*Assumptions!R$202)-Assumptions!R$202)+Assumptions!R$207*MAX(0,MIN(Assumptions!$D$87*IF(Assumptions!R$191=2027,1+Assumptions!$F$175,1)/12,1.5*Assumptions!R$202)-1.1*Assumptions!R$202)+Assumptions!R$209*MAX(0,Assumptions!$D$87*IF(Assumptions!R$191=2027,1+Assumptions!$F$175,1)/12-1.5*Assumptions!R$202)))</f>
        <v>4483.31797466252</v>
      </c>
      <c r="S69" s="65" t="n">
        <f aca="false">S20*(MIN(Assumptions!$D$87*IF(Assumptions!S$191=2027,1+Assumptions!$F$175,1)/12,Assumptions!S$202)*Assumptions!S$203+(Assumptions!S$205*MAX(0,MIN(Assumptions!$D$87*IF(Assumptions!S$191=2027,1+Assumptions!$F$175,1)/12,1.1*Assumptions!S$202)-Assumptions!S$202)+Assumptions!S$207*MAX(0,MIN(Assumptions!$D$87*IF(Assumptions!S$191=2027,1+Assumptions!$F$175,1)/12,1.5*Assumptions!S$202)-1.1*Assumptions!S$202)+Assumptions!S$209*MAX(0,Assumptions!$D$87*IF(Assumptions!S$191=2027,1+Assumptions!$F$175,1)/12-1.5*Assumptions!S$202)))</f>
        <v>4483.32131269865</v>
      </c>
      <c r="T69" s="65" t="n">
        <f aca="false">T20*(MIN(Assumptions!$D$87*IF(Assumptions!T$191=2027,1+Assumptions!$F$175,1)/12,Assumptions!T$202)*Assumptions!T$203+(Assumptions!T$205*MAX(0,MIN(Assumptions!$D$87*IF(Assumptions!T$191=2027,1+Assumptions!$F$175,1)/12,1.1*Assumptions!T$202)-Assumptions!T$202)+Assumptions!T$207*MAX(0,MIN(Assumptions!$D$87*IF(Assumptions!T$191=2027,1+Assumptions!$F$175,1)/12,1.5*Assumptions!T$202)-1.1*Assumptions!T$202)+Assumptions!T$209*MAX(0,Assumptions!$D$87*IF(Assumptions!T$191=2027,1+Assumptions!$F$175,1)/12-1.5*Assumptions!T$202)))</f>
        <v>4483.32201484664</v>
      </c>
      <c r="U69" s="65" t="n">
        <f aca="false">U20*(MIN(Assumptions!$D$87*IF(Assumptions!U$191=2027,1+Assumptions!$F$175,1)/12,Assumptions!U$202)*Assumptions!U$203+(Assumptions!U$205*MAX(0,MIN(Assumptions!$D$87*IF(Assumptions!U$191=2027,1+Assumptions!$F$175,1)/12,1.1*Assumptions!U$202)-Assumptions!U$202)+Assumptions!U$207*MAX(0,MIN(Assumptions!$D$87*IF(Assumptions!U$191=2027,1+Assumptions!$F$175,1)/12,1.5*Assumptions!U$202)-1.1*Assumptions!U$202)+Assumptions!U$209*MAX(0,Assumptions!$D$87*IF(Assumptions!U$191=2027,1+Assumptions!$F$175,1)/12-1.5*Assumptions!U$202)))</f>
        <v>5261.67643067614</v>
      </c>
      <c r="V69" s="65" t="n">
        <f aca="false">V20*(MIN(Assumptions!$D$87*IF(Assumptions!V$191=2027,1+Assumptions!$F$175,1)/12,Assumptions!V$202)*Assumptions!V$203+(Assumptions!V$205*MAX(0,MIN(Assumptions!$D$87*IF(Assumptions!V$191=2027,1+Assumptions!$F$175,1)/12,1.1*Assumptions!V$202)-Assumptions!V$202)+Assumptions!V$207*MAX(0,MIN(Assumptions!$D$87*IF(Assumptions!V$191=2027,1+Assumptions!$F$175,1)/12,1.5*Assumptions!V$202)-1.1*Assumptions!V$202)+Assumptions!V$209*MAX(0,Assumptions!$D$87*IF(Assumptions!V$191=2027,1+Assumptions!$F$175,1)/12-1.5*Assumptions!V$202)))</f>
        <v>5245.46069905161</v>
      </c>
      <c r="W69" s="65" t="n">
        <f aca="false">W20*(MIN(Assumptions!$D$87*IF(Assumptions!W$191=2027,1+Assumptions!$F$175,1)/12,Assumptions!W$202)*Assumptions!W$203+(Assumptions!W$205*MAX(0,MIN(Assumptions!$D$87*IF(Assumptions!W$191=2027,1+Assumptions!$F$175,1)/12,1.1*Assumptions!W$202)-Assumptions!W$202)+Assumptions!W$207*MAX(0,MIN(Assumptions!$D$87*IF(Assumptions!W$191=2027,1+Assumptions!$F$175,1)/12,1.5*Assumptions!W$202)-1.1*Assumptions!W$202)+Assumptions!W$209*MAX(0,Assumptions!$D$87*IF(Assumptions!W$191=2027,1+Assumptions!$F$175,1)/12-1.5*Assumptions!W$202)))</f>
        <v>5229.58280979734</v>
      </c>
      <c r="X69" s="65" t="n">
        <f aca="false">X20*(MIN(Assumptions!$D$87*IF(Assumptions!X$191=2027,1+Assumptions!$F$175,1)/12,Assumptions!X$202)*Assumptions!X$203+(Assumptions!X$205*MAX(0,MIN(Assumptions!$D$87*IF(Assumptions!X$191=2027,1+Assumptions!$F$175,1)/12,1.1*Assumptions!X$202)-Assumptions!X$202)+Assumptions!X$207*MAX(0,MIN(Assumptions!$D$87*IF(Assumptions!X$191=2027,1+Assumptions!$F$175,1)/12,1.5*Assumptions!X$202)-1.1*Assumptions!X$202)+Assumptions!X$209*MAX(0,Assumptions!$D$87*IF(Assumptions!X$191=2027,1+Assumptions!$F$175,1)/12-1.5*Assumptions!X$202)))</f>
        <v>5230.25142689898</v>
      </c>
      <c r="Y69" s="65" t="n">
        <f aca="false">Y20*(MIN(Assumptions!$D$87*IF(Assumptions!Y$191=2027,1+Assumptions!$F$175,1)/12,Assumptions!Y$202)*Assumptions!Y$203+(Assumptions!Y$205*MAX(0,MIN(Assumptions!$D$87*IF(Assumptions!Y$191=2027,1+Assumptions!$F$175,1)/12,1.1*Assumptions!Y$202)-Assumptions!Y$202)+Assumptions!Y$207*MAX(0,MIN(Assumptions!$D$87*IF(Assumptions!Y$191=2027,1+Assumptions!$F$175,1)/12,1.5*Assumptions!Y$202)-1.1*Assumptions!Y$202)+Assumptions!Y$209*MAX(0,Assumptions!$D$87*IF(Assumptions!Y$191=2027,1+Assumptions!$F$175,1)/12-1.5*Assumptions!Y$202)))</f>
        <v>5230.56828673549</v>
      </c>
      <c r="Z69" s="65" t="n">
        <f aca="false">Z20*(MIN(Assumptions!$D$87*IF(Assumptions!Z$191=2027,1+Assumptions!$F$175,1)/12,Assumptions!Z$202)*Assumptions!Z$203+(Assumptions!Z$205*MAX(0,MIN(Assumptions!$D$87*IF(Assumptions!Z$191=2027,1+Assumptions!$F$175,1)/12,1.1*Assumptions!Z$202)-Assumptions!Z$202)+Assumptions!Z$207*MAX(0,MIN(Assumptions!$D$87*IF(Assumptions!Z$191=2027,1+Assumptions!$F$175,1)/12,1.5*Assumptions!Z$202)-1.1*Assumptions!Z$202)+Assumptions!Z$209*MAX(0,Assumptions!$D$87*IF(Assumptions!Z$191=2027,1+Assumptions!$F$175,1)/12-1.5*Assumptions!Z$202)))</f>
        <v>5230.54775596595</v>
      </c>
      <c r="AA69" s="65" t="n">
        <f aca="false">AA20*(MIN(Assumptions!$D$87*IF(Assumptions!AA$191=2027,1+Assumptions!$F$175,1)/12,Assumptions!AA$202)*Assumptions!AA$203+(Assumptions!AA$205*MAX(0,MIN(Assumptions!$D$87*IF(Assumptions!AA$191=2027,1+Assumptions!$F$175,1)/12,1.1*Assumptions!AA$202)-Assumptions!AA$202)+Assumptions!AA$207*MAX(0,MIN(Assumptions!$D$87*IF(Assumptions!AA$191=2027,1+Assumptions!$F$175,1)/12,1.5*Assumptions!AA$202)-1.1*Assumptions!AA$202)+Assumptions!AA$209*MAX(0,Assumptions!$D$87*IF(Assumptions!AA$191=2027,1+Assumptions!$F$175,1)/12-1.5*Assumptions!AA$202)))</f>
        <v>5230.54158244372</v>
      </c>
      <c r="AB69" s="65" t="n">
        <f aca="false">AB20*(MIN(Assumptions!$D$87*IF(Assumptions!AB$191=2027,1+Assumptions!$F$175,1)/12,Assumptions!AB$202)*Assumptions!AB$203+(Assumptions!AB$205*MAX(0,MIN(Assumptions!$D$87*IF(Assumptions!AB$191=2027,1+Assumptions!$F$175,1)/12,1.1*Assumptions!AB$202)-Assumptions!AB$202)+Assumptions!AB$207*MAX(0,MIN(Assumptions!$D$87*IF(Assumptions!AB$191=2027,1+Assumptions!$F$175,1)/12,1.5*Assumptions!AB$202)-1.1*Assumptions!AB$202)+Assumptions!AB$209*MAX(0,Assumptions!$D$87*IF(Assumptions!AB$191=2027,1+Assumptions!$F$175,1)/12-1.5*Assumptions!AB$202)))</f>
        <v>5230.54213878313</v>
      </c>
    </row>
    <row r="70" customFormat="false" ht="15" hidden="false" customHeight="false" outlineLevel="0" collapsed="false">
      <c r="A70" s="28" t="s">
        <v>1119</v>
      </c>
      <c r="B70" s="63" t="s">
        <v>1107</v>
      </c>
      <c r="C70" s="64" t="n">
        <f aca="false">SUM(E70:P70)</f>
        <v>101546.427734218</v>
      </c>
      <c r="D70" s="64" t="n">
        <f aca="false">SUM(Q70:AB70)</f>
        <v>119809.191178678</v>
      </c>
      <c r="E70" s="65" t="n">
        <f aca="false">E21*(MIN(Assumptions!$D$88*IF(Assumptions!E$191=2027,1+Assumptions!$F$175,1)/12,Assumptions!E$202)*Assumptions!E$203+(Assumptions!E$205*MAX(0,MIN(Assumptions!$D$88*IF(Assumptions!E$191=2027,1+Assumptions!$F$175,1)/12,1.1*Assumptions!E$202)-Assumptions!E$202)+Assumptions!E$207*MAX(0,MIN(Assumptions!$D$88*IF(Assumptions!E$191=2027,1+Assumptions!$F$175,1)/12,1.5*Assumptions!E$202)-1.1*Assumptions!E$202)+Assumptions!E$209*MAX(0,Assumptions!$D$88*IF(Assumptions!E$191=2027,1+Assumptions!$F$175,1)/12-1.5*Assumptions!E$202)))</f>
        <v>7394.5</v>
      </c>
      <c r="F70" s="65" t="n">
        <f aca="false">F21*(MIN(Assumptions!$D$88*IF(Assumptions!F$191=2027,1+Assumptions!$F$175,1)/12,Assumptions!F$202)*Assumptions!F$203+(Assumptions!F$205*MAX(0,MIN(Assumptions!$D$88*IF(Assumptions!F$191=2027,1+Assumptions!$F$175,1)/12,1.1*Assumptions!F$202)-Assumptions!F$202)+Assumptions!F$207*MAX(0,MIN(Assumptions!$D$88*IF(Assumptions!F$191=2027,1+Assumptions!$F$175,1)/12,1.5*Assumptions!F$202)-1.1*Assumptions!F$202)+Assumptions!F$209*MAX(0,Assumptions!$D$88*IF(Assumptions!F$191=2027,1+Assumptions!$F$175,1)/12-1.5*Assumptions!F$202)))</f>
        <v>8626.91666666667</v>
      </c>
      <c r="G70" s="65" t="n">
        <f aca="false">G21*(MIN(Assumptions!$D$88*IF(Assumptions!G$191=2027,1+Assumptions!$F$175,1)/12,Assumptions!G$202)*Assumptions!G$203+(Assumptions!G$205*MAX(0,MIN(Assumptions!$D$88*IF(Assumptions!G$191=2027,1+Assumptions!$F$175,1)/12,1.1*Assumptions!G$202)-Assumptions!G$202)+Assumptions!G$207*MAX(0,MIN(Assumptions!$D$88*IF(Assumptions!G$191=2027,1+Assumptions!$F$175,1)/12,1.5*Assumptions!G$202)-1.1*Assumptions!G$202)+Assumptions!G$209*MAX(0,Assumptions!$D$88*IF(Assumptions!G$191=2027,1+Assumptions!$F$175,1)/12-1.5*Assumptions!G$202)))</f>
        <v>8626.91666666667</v>
      </c>
      <c r="H70" s="65" t="n">
        <f aca="false">H21*(MIN(Assumptions!$D$88*IF(Assumptions!H$191=2027,1+Assumptions!$F$175,1)/12,Assumptions!H$202)*Assumptions!H$203+(Assumptions!H$205*MAX(0,MIN(Assumptions!$D$88*IF(Assumptions!H$191=2027,1+Assumptions!$F$175,1)/12,1.1*Assumptions!H$202)-Assumptions!H$202)+Assumptions!H$207*MAX(0,MIN(Assumptions!$D$88*IF(Assumptions!H$191=2027,1+Assumptions!$F$175,1)/12,1.5*Assumptions!H$202)-1.1*Assumptions!H$202)+Assumptions!H$209*MAX(0,Assumptions!$D$88*IF(Assumptions!H$191=2027,1+Assumptions!$F$175,1)/12-1.5*Assumptions!H$202)))</f>
        <v>8626.91666666667</v>
      </c>
      <c r="I70" s="65" t="n">
        <f aca="false">I21*(MIN(Assumptions!$D$88*IF(Assumptions!I$191=2027,1+Assumptions!$F$175,1)/12,Assumptions!I$202)*Assumptions!I$203+(Assumptions!I$205*MAX(0,MIN(Assumptions!$D$88*IF(Assumptions!I$191=2027,1+Assumptions!$F$175,1)/12,1.1*Assumptions!I$202)-Assumptions!I$202)+Assumptions!I$207*MAX(0,MIN(Assumptions!$D$88*IF(Assumptions!I$191=2027,1+Assumptions!$F$175,1)/12,1.5*Assumptions!I$202)-1.1*Assumptions!I$202)+Assumptions!I$209*MAX(0,Assumptions!$D$88*IF(Assumptions!I$191=2027,1+Assumptions!$F$175,1)/12-1.5*Assumptions!I$202)))</f>
        <v>8626.91666666667</v>
      </c>
      <c r="J70" s="65" t="n">
        <f aca="false">J21*(MIN(Assumptions!$D$88*IF(Assumptions!J$191=2027,1+Assumptions!$F$175,1)/12,Assumptions!J$202)*Assumptions!J$203+(Assumptions!J$205*MAX(0,MIN(Assumptions!$D$88*IF(Assumptions!J$191=2027,1+Assumptions!$F$175,1)/12,1.1*Assumptions!J$202)-Assumptions!J$202)+Assumptions!J$207*MAX(0,MIN(Assumptions!$D$88*IF(Assumptions!J$191=2027,1+Assumptions!$F$175,1)/12,1.5*Assumptions!J$202)-1.1*Assumptions!J$202)+Assumptions!J$209*MAX(0,Assumptions!$D$88*IF(Assumptions!J$191=2027,1+Assumptions!$F$175,1)/12-1.5*Assumptions!J$202)))</f>
        <v>8626.91666666667</v>
      </c>
      <c r="K70" s="65" t="n">
        <f aca="false">K21*(MIN(Assumptions!$D$88*IF(Assumptions!K$191=2027,1+Assumptions!$F$175,1)/12,Assumptions!K$202)*Assumptions!K$203+(Assumptions!K$205*MAX(0,MIN(Assumptions!$D$88*IF(Assumptions!K$191=2027,1+Assumptions!$F$175,1)/12,1.1*Assumptions!K$202)-Assumptions!K$202)+Assumptions!K$207*MAX(0,MIN(Assumptions!$D$88*IF(Assumptions!K$191=2027,1+Assumptions!$F$175,1)/12,1.5*Assumptions!K$202)-1.1*Assumptions!K$202)+Assumptions!K$209*MAX(0,Assumptions!$D$88*IF(Assumptions!K$191=2027,1+Assumptions!$F$175,1)/12-1.5*Assumptions!K$202)))</f>
        <v>8626.91666666667</v>
      </c>
      <c r="L70" s="65" t="n">
        <f aca="false">L21*(MIN(Assumptions!$D$88*IF(Assumptions!L$191=2027,1+Assumptions!$F$175,1)/12,Assumptions!L$202)*Assumptions!L$203+(Assumptions!L$205*MAX(0,MIN(Assumptions!$D$88*IF(Assumptions!L$191=2027,1+Assumptions!$F$175,1)/12,1.1*Assumptions!L$202)-Assumptions!L$202)+Assumptions!L$207*MAX(0,MIN(Assumptions!$D$88*IF(Assumptions!L$191=2027,1+Assumptions!$F$175,1)/12,1.5*Assumptions!L$202)-1.1*Assumptions!L$202)+Assumptions!L$209*MAX(0,Assumptions!$D$88*IF(Assumptions!L$191=2027,1+Assumptions!$F$175,1)/12-1.5*Assumptions!L$202)))</f>
        <v>8626.91666666667</v>
      </c>
      <c r="M70" s="65" t="n">
        <f aca="false">M21*(MIN(Assumptions!$D$88*IF(Assumptions!M$191=2027,1+Assumptions!$F$175,1)/12,Assumptions!M$202)*Assumptions!M$203+(Assumptions!M$205*MAX(0,MIN(Assumptions!$D$88*IF(Assumptions!M$191=2027,1+Assumptions!$F$175,1)/12,1.1*Assumptions!M$202)-Assumptions!M$202)+Assumptions!M$207*MAX(0,MIN(Assumptions!$D$88*IF(Assumptions!M$191=2027,1+Assumptions!$F$175,1)/12,1.5*Assumptions!M$202)-1.1*Assumptions!M$202)+Assumptions!M$209*MAX(0,Assumptions!$D$88*IF(Assumptions!M$191=2027,1+Assumptions!$F$175,1)/12-1.5*Assumptions!M$202)))</f>
        <v>8519.08020833333</v>
      </c>
      <c r="N70" s="65" t="n">
        <f aca="false">N21*(MIN(Assumptions!$D$88*IF(Assumptions!N$191=2027,1+Assumptions!$F$175,1)/12,Assumptions!N$202)*Assumptions!N$203+(Assumptions!N$205*MAX(0,MIN(Assumptions!$D$88*IF(Assumptions!N$191=2027,1+Assumptions!$F$175,1)/12,1.1*Assumptions!N$202)-Assumptions!N$202)+Assumptions!N$207*MAX(0,MIN(Assumptions!$D$88*IF(Assumptions!N$191=2027,1+Assumptions!$F$175,1)/12,1.5*Assumptions!N$202)-1.1*Assumptions!N$202)+Assumptions!N$209*MAX(0,Assumptions!$D$88*IF(Assumptions!N$191=2027,1+Assumptions!$F$175,1)/12-1.5*Assumptions!N$202)))</f>
        <v>8412.59170572917</v>
      </c>
      <c r="O70" s="65" t="n">
        <f aca="false">O21*(MIN(Assumptions!$D$88*IF(Assumptions!O$191=2027,1+Assumptions!$F$175,1)/12,Assumptions!O$202)*Assumptions!O$203+(Assumptions!O$205*MAX(0,MIN(Assumptions!$D$88*IF(Assumptions!O$191=2027,1+Assumptions!$F$175,1)/12,1.1*Assumptions!O$202)-Assumptions!O$202)+Assumptions!O$207*MAX(0,MIN(Assumptions!$D$88*IF(Assumptions!O$191=2027,1+Assumptions!$F$175,1)/12,1.5*Assumptions!O$202)-1.1*Assumptions!O$202)+Assumptions!O$209*MAX(0,Assumptions!$D$88*IF(Assumptions!O$191=2027,1+Assumptions!$F$175,1)/12-1.5*Assumptions!O$202)))</f>
        <v>8415.27076774089</v>
      </c>
      <c r="P70" s="65" t="n">
        <f aca="false">P21*(MIN(Assumptions!$D$88*IF(Assumptions!P$191=2027,1+Assumptions!$F$175,1)/12,Assumptions!P$202)*Assumptions!P$203+(Assumptions!P$205*MAX(0,MIN(Assumptions!$D$88*IF(Assumptions!P$191=2027,1+Assumptions!$F$175,1)/12,1.1*Assumptions!P$202)-Assumptions!P$202)+Assumptions!P$207*MAX(0,MIN(Assumptions!$D$88*IF(Assumptions!P$191=2027,1+Assumptions!$F$175,1)/12,1.5*Assumptions!P$202)-1.1*Assumptions!P$202)+Assumptions!P$209*MAX(0,Assumptions!$D$88*IF(Assumptions!P$191=2027,1+Assumptions!$F$175,1)/12-1.5*Assumptions!P$202)))</f>
        <v>8416.56838574829</v>
      </c>
      <c r="Q70" s="65" t="n">
        <f aca="false">Q21*(MIN(Assumptions!$D$88*IF(Assumptions!Q$191=2027,1+Assumptions!$F$175,1)/12,Assumptions!Q$202)*Assumptions!Q$203+(Assumptions!Q$205*MAX(0,MIN(Assumptions!$D$88*IF(Assumptions!Q$191=2027,1+Assumptions!$F$175,1)/12,1.1*Assumptions!Q$202)-Assumptions!Q$202)+Assumptions!Q$207*MAX(0,MIN(Assumptions!$D$88*IF(Assumptions!Q$191=2027,1+Assumptions!$F$175,1)/12,1.5*Assumptions!Q$202)-1.1*Assumptions!Q$202)+Assumptions!Q$209*MAX(0,Assumptions!$D$88*IF(Assumptions!Q$191=2027,1+Assumptions!$F$175,1)/12-1.5*Assumptions!Q$202)))</f>
        <v>10011.4982161454</v>
      </c>
      <c r="R70" s="65" t="n">
        <f aca="false">R21*(MIN(Assumptions!$D$88*IF(Assumptions!R$191=2027,1+Assumptions!$F$175,1)/12,Assumptions!R$202)*Assumptions!R$203+(Assumptions!R$205*MAX(0,MIN(Assumptions!$D$88*IF(Assumptions!R$191=2027,1+Assumptions!$F$175,1)/12,1.1*Assumptions!R$202)-Assumptions!R$202)+Assumptions!R$207*MAX(0,MIN(Assumptions!$D$88*IF(Assumptions!R$191=2027,1+Assumptions!$F$175,1)/12,1.5*Assumptions!R$202)-1.1*Assumptions!R$202)+Assumptions!R$209*MAX(0,Assumptions!$D$88*IF(Assumptions!R$191=2027,1+Assumptions!$F$175,1)/12-1.5*Assumptions!R$202)))</f>
        <v>9995.49796551739</v>
      </c>
      <c r="S70" s="65" t="n">
        <f aca="false">S21*(MIN(Assumptions!$D$88*IF(Assumptions!S$191=2027,1+Assumptions!$F$175,1)/12,Assumptions!S$202)*Assumptions!S$203+(Assumptions!S$205*MAX(0,MIN(Assumptions!$D$88*IF(Assumptions!S$191=2027,1+Assumptions!$F$175,1)/12,1.1*Assumptions!S$202)-Assumptions!S$202)+Assumptions!S$207*MAX(0,MIN(Assumptions!$D$88*IF(Assumptions!S$191=2027,1+Assumptions!$F$175,1)/12,1.5*Assumptions!S$202)-1.1*Assumptions!S$202)+Assumptions!S$209*MAX(0,Assumptions!$D$88*IF(Assumptions!S$191=2027,1+Assumptions!$F$175,1)/12-1.5*Assumptions!S$202)))</f>
        <v>9979.71454772922</v>
      </c>
      <c r="T70" s="65" t="n">
        <f aca="false">T21*(MIN(Assumptions!$D$88*IF(Assumptions!T$191=2027,1+Assumptions!$F$175,1)/12,Assumptions!T$202)*Assumptions!T$203+(Assumptions!T$205*MAX(0,MIN(Assumptions!$D$88*IF(Assumptions!T$191=2027,1+Assumptions!$F$175,1)/12,1.1*Assumptions!T$202)-Assumptions!T$202)+Assumptions!T$207*MAX(0,MIN(Assumptions!$D$88*IF(Assumptions!T$191=2027,1+Assumptions!$F$175,1)/12,1.5*Assumptions!T$202)-1.1*Assumptions!T$202)+Assumptions!T$209*MAX(0,Assumptions!$D$88*IF(Assumptions!T$191=2027,1+Assumptions!$F$175,1)/12-1.5*Assumptions!T$202)))</f>
        <v>9980.11184358442</v>
      </c>
      <c r="U70" s="65" t="n">
        <f aca="false">U21*(MIN(Assumptions!$D$88*IF(Assumptions!U$191=2027,1+Assumptions!$F$175,1)/12,Assumptions!U$202)*Assumptions!U$203+(Assumptions!U$205*MAX(0,MIN(Assumptions!$D$88*IF(Assumptions!U$191=2027,1+Assumptions!$F$175,1)/12,1.1*Assumptions!U$202)-Assumptions!U$202)+Assumptions!U$207*MAX(0,MIN(Assumptions!$D$88*IF(Assumptions!U$191=2027,1+Assumptions!$F$175,1)/12,1.5*Assumptions!U$202)-1.1*Assumptions!U$202)+Assumptions!U$209*MAX(0,Assumptions!$D$88*IF(Assumptions!U$191=2027,1+Assumptions!$F$175,1)/12-1.5*Assumptions!U$202)))</f>
        <v>9980.30417010858</v>
      </c>
      <c r="V70" s="65" t="n">
        <f aca="false">V21*(MIN(Assumptions!$D$88*IF(Assumptions!V$191=2027,1+Assumptions!$F$175,1)/12,Assumptions!V$202)*Assumptions!V$203+(Assumptions!V$205*MAX(0,MIN(Assumptions!$D$88*IF(Assumptions!V$191=2027,1+Assumptions!$F$175,1)/12,1.1*Assumptions!V$202)-Assumptions!V$202)+Assumptions!V$207*MAX(0,MIN(Assumptions!$D$88*IF(Assumptions!V$191=2027,1+Assumptions!$F$175,1)/12,1.5*Assumptions!V$202)-1.1*Assumptions!V$202)+Assumptions!V$209*MAX(0,Assumptions!$D$88*IF(Assumptions!V$191=2027,1+Assumptions!$F$175,1)/12-1.5*Assumptions!V$202)))</f>
        <v>9980.29679982884</v>
      </c>
      <c r="W70" s="65" t="n">
        <f aca="false">W21*(MIN(Assumptions!$D$88*IF(Assumptions!W$191=2027,1+Assumptions!$F$175,1)/12,Assumptions!W$202)*Assumptions!W$203+(Assumptions!W$205*MAX(0,MIN(Assumptions!$D$88*IF(Assumptions!W$191=2027,1+Assumptions!$F$175,1)/12,1.1*Assumptions!W$202)-Assumptions!W$202)+Assumptions!W$207*MAX(0,MIN(Assumptions!$D$88*IF(Assumptions!W$191=2027,1+Assumptions!$F$175,1)/12,1.5*Assumptions!W$202)-1.1*Assumptions!W$202)+Assumptions!W$209*MAX(0,Assumptions!$D$88*IF(Assumptions!W$191=2027,1+Assumptions!$F$175,1)/12-1.5*Assumptions!W$202)))</f>
        <v>9980.29448787578</v>
      </c>
      <c r="X70" s="65" t="n">
        <f aca="false">X21*(MIN(Assumptions!$D$88*IF(Assumptions!X$191=2027,1+Assumptions!$F$175,1)/12,Assumptions!X$202)*Assumptions!X$203+(Assumptions!X$205*MAX(0,MIN(Assumptions!$D$88*IF(Assumptions!X$191=2027,1+Assumptions!$F$175,1)/12,1.1*Assumptions!X$202)-Assumptions!X$202)+Assumptions!X$207*MAX(0,MIN(Assumptions!$D$88*IF(Assumptions!X$191=2027,1+Assumptions!$F$175,1)/12,1.5*Assumptions!X$202)-1.1*Assumptions!X$202)+Assumptions!X$209*MAX(0,Assumptions!$D$88*IF(Assumptions!X$191=2027,1+Assumptions!$F$175,1)/12-1.5*Assumptions!X$202)))</f>
        <v>9980.29460890369</v>
      </c>
      <c r="Y70" s="65" t="n">
        <f aca="false">Y21*(MIN(Assumptions!$D$88*IF(Assumptions!Y$191=2027,1+Assumptions!$F$175,1)/12,Assumptions!Y$202)*Assumptions!Y$203+(Assumptions!Y$205*MAX(0,MIN(Assumptions!$D$88*IF(Assumptions!Y$191=2027,1+Assumptions!$F$175,1)/12,1.1*Assumptions!Y$202)-Assumptions!Y$202)+Assumptions!Y$207*MAX(0,MIN(Assumptions!$D$88*IF(Assumptions!Y$191=2027,1+Assumptions!$F$175,1)/12,1.5*Assumptions!Y$202)-1.1*Assumptions!Y$202)+Assumptions!Y$209*MAX(0,Assumptions!$D$88*IF(Assumptions!Y$191=2027,1+Assumptions!$F$175,1)/12-1.5*Assumptions!Y$202)))</f>
        <v>9980.29463629026</v>
      </c>
      <c r="Z70" s="65" t="n">
        <f aca="false">Z21*(MIN(Assumptions!$D$88*IF(Assumptions!Z$191=2027,1+Assumptions!$F$175,1)/12,Assumptions!Z$202)*Assumptions!Z$203+(Assumptions!Z$205*MAX(0,MIN(Assumptions!$D$88*IF(Assumptions!Z$191=2027,1+Assumptions!$F$175,1)/12,1.1*Assumptions!Z$202)-Assumptions!Z$202)+Assumptions!Z$207*MAX(0,MIN(Assumptions!$D$88*IF(Assumptions!Z$191=2027,1+Assumptions!$F$175,1)/12,1.5*Assumptions!Z$202)-1.1*Assumptions!Z$202)+Assumptions!Z$209*MAX(0,Assumptions!$D$88*IF(Assumptions!Z$191=2027,1+Assumptions!$F$175,1)/12-1.5*Assumptions!Z$202)))</f>
        <v>9980.29463443508</v>
      </c>
      <c r="AA70" s="65" t="n">
        <f aca="false">AA21*(MIN(Assumptions!$D$88*IF(Assumptions!AA$191=2027,1+Assumptions!$F$175,1)/12,Assumptions!AA$202)*Assumptions!AA$203+(Assumptions!AA$205*MAX(0,MIN(Assumptions!$D$88*IF(Assumptions!AA$191=2027,1+Assumptions!$F$175,1)/12,1.1*Assumptions!AA$202)-Assumptions!AA$202)+Assumptions!AA$207*MAX(0,MIN(Assumptions!$D$88*IF(Assumptions!AA$191=2027,1+Assumptions!$F$175,1)/12,1.5*Assumptions!AA$202)-1.1*Assumptions!AA$202)+Assumptions!AA$209*MAX(0,Assumptions!$D$88*IF(Assumptions!AA$191=2027,1+Assumptions!$F$175,1)/12-1.5*Assumptions!AA$202)))</f>
        <v>9980.29463411593</v>
      </c>
      <c r="AB70" s="65" t="n">
        <f aca="false">AB21*(MIN(Assumptions!$D$88*IF(Assumptions!AB$191=2027,1+Assumptions!$F$175,1)/12,Assumptions!AB$202)*Assumptions!AB$203+(Assumptions!AB$205*MAX(0,MIN(Assumptions!$D$88*IF(Assumptions!AB$191=2027,1+Assumptions!$F$175,1)/12,1.1*Assumptions!AB$202)-Assumptions!AB$202)+Assumptions!AB$207*MAX(0,MIN(Assumptions!$D$88*IF(Assumptions!AB$191=2027,1+Assumptions!$F$175,1)/12,1.5*Assumptions!AB$202)-1.1*Assumptions!AB$202)+Assumptions!AB$209*MAX(0,Assumptions!$D$88*IF(Assumptions!AB$191=2027,1+Assumptions!$F$175,1)/12-1.5*Assumptions!AB$202)))</f>
        <v>9980.29463414311</v>
      </c>
    </row>
    <row r="71" customFormat="false" ht="15" hidden="false" customHeight="false" outlineLevel="0" collapsed="false">
      <c r="A71" s="28" t="s">
        <v>1120</v>
      </c>
      <c r="B71" s="63" t="s">
        <v>1107</v>
      </c>
      <c r="C71" s="64" t="n">
        <f aca="false">SUM(E71:P71)</f>
        <v>40153.6788090891</v>
      </c>
      <c r="D71" s="64" t="n">
        <f aca="false">SUM(Q71:AB71)</f>
        <v>41539.0450041053</v>
      </c>
      <c r="E71" s="65" t="n">
        <f aca="false">E22*(MIN(Assumptions!$D$89*IF(Assumptions!E$191=2027,1+Assumptions!$F$175,1)/12,Assumptions!E$202)*Assumptions!E$203+(Assumptions!E$205*MAX(0,MIN(Assumptions!$D$89*IF(Assumptions!E$191=2027,1+Assumptions!$F$175,1)/12,1.1*Assumptions!E$202)-Assumptions!E$202)+Assumptions!E$207*MAX(0,MIN(Assumptions!$D$89*IF(Assumptions!E$191=2027,1+Assumptions!$F$175,1)/12,1.5*Assumptions!E$202)-1.1*Assumptions!E$202)+Assumptions!E$209*MAX(0,Assumptions!$D$89*IF(Assumptions!E$191=2027,1+Assumptions!$F$175,1)/12-1.5*Assumptions!E$202)))</f>
        <v>3359.103968</v>
      </c>
      <c r="F71" s="65" t="n">
        <f aca="false">F22*(MIN(Assumptions!$D$89*IF(Assumptions!F$191=2027,1+Assumptions!$F$175,1)/12,Assumptions!F$202)*Assumptions!F$203+(Assumptions!F$205*MAX(0,MIN(Assumptions!$D$89*IF(Assumptions!F$191=2027,1+Assumptions!$F$175,1)/12,1.1*Assumptions!F$202)-Assumptions!F$202)+Assumptions!F$207*MAX(0,MIN(Assumptions!$D$89*IF(Assumptions!F$191=2027,1+Assumptions!$F$175,1)/12,1.5*Assumptions!F$202)-1.1*Assumptions!F$202)+Assumptions!F$209*MAX(0,Assumptions!$D$89*IF(Assumptions!F$191=2027,1+Assumptions!$F$175,1)/12-1.5*Assumptions!F$202)))</f>
        <v>3359.103968</v>
      </c>
      <c r="G71" s="65" t="n">
        <f aca="false">G22*(MIN(Assumptions!$D$89*IF(Assumptions!G$191=2027,1+Assumptions!$F$175,1)/12,Assumptions!G$202)*Assumptions!G$203+(Assumptions!G$205*MAX(0,MIN(Assumptions!$D$89*IF(Assumptions!G$191=2027,1+Assumptions!$F$175,1)/12,1.1*Assumptions!G$202)-Assumptions!G$202)+Assumptions!G$207*MAX(0,MIN(Assumptions!$D$89*IF(Assumptions!G$191=2027,1+Assumptions!$F$175,1)/12,1.5*Assumptions!G$202)-1.1*Assumptions!G$202)+Assumptions!G$209*MAX(0,Assumptions!$D$89*IF(Assumptions!G$191=2027,1+Assumptions!$F$175,1)/12-1.5*Assumptions!G$202)))</f>
        <v>3359.103968</v>
      </c>
      <c r="H71" s="65" t="n">
        <f aca="false">H22*(MIN(Assumptions!$D$89*IF(Assumptions!H$191=2027,1+Assumptions!$F$175,1)/12,Assumptions!H$202)*Assumptions!H$203+(Assumptions!H$205*MAX(0,MIN(Assumptions!$D$89*IF(Assumptions!H$191=2027,1+Assumptions!$F$175,1)/12,1.1*Assumptions!H$202)-Assumptions!H$202)+Assumptions!H$207*MAX(0,MIN(Assumptions!$D$89*IF(Assumptions!H$191=2027,1+Assumptions!$F$175,1)/12,1.5*Assumptions!H$202)-1.1*Assumptions!H$202)+Assumptions!H$209*MAX(0,Assumptions!$D$89*IF(Assumptions!H$191=2027,1+Assumptions!$F$175,1)/12-1.5*Assumptions!H$202)))</f>
        <v>3359.103968</v>
      </c>
      <c r="I71" s="65" t="n">
        <f aca="false">I22*(MIN(Assumptions!$D$89*IF(Assumptions!I$191=2027,1+Assumptions!$F$175,1)/12,Assumptions!I$202)*Assumptions!I$203+(Assumptions!I$205*MAX(0,MIN(Assumptions!$D$89*IF(Assumptions!I$191=2027,1+Assumptions!$F$175,1)/12,1.1*Assumptions!I$202)-Assumptions!I$202)+Assumptions!I$207*MAX(0,MIN(Assumptions!$D$89*IF(Assumptions!I$191=2027,1+Assumptions!$F$175,1)/12,1.5*Assumptions!I$202)-1.1*Assumptions!I$202)+Assumptions!I$209*MAX(0,Assumptions!$D$89*IF(Assumptions!I$191=2027,1+Assumptions!$F$175,1)/12-1.5*Assumptions!I$202)))</f>
        <v>3359.103968</v>
      </c>
      <c r="J71" s="65" t="n">
        <f aca="false">J22*(MIN(Assumptions!$D$89*IF(Assumptions!J$191=2027,1+Assumptions!$F$175,1)/12,Assumptions!J$202)*Assumptions!J$203+(Assumptions!J$205*MAX(0,MIN(Assumptions!$D$89*IF(Assumptions!J$191=2027,1+Assumptions!$F$175,1)/12,1.1*Assumptions!J$202)-Assumptions!J$202)+Assumptions!J$207*MAX(0,MIN(Assumptions!$D$89*IF(Assumptions!J$191=2027,1+Assumptions!$F$175,1)/12,1.5*Assumptions!J$202)-1.1*Assumptions!J$202)+Assumptions!J$209*MAX(0,Assumptions!$D$89*IF(Assumptions!J$191=2027,1+Assumptions!$F$175,1)/12-1.5*Assumptions!J$202)))</f>
        <v>3359.103968</v>
      </c>
      <c r="K71" s="65" t="n">
        <f aca="false">K22*(MIN(Assumptions!$D$89*IF(Assumptions!K$191=2027,1+Assumptions!$F$175,1)/12,Assumptions!K$202)*Assumptions!K$203+(Assumptions!K$205*MAX(0,MIN(Assumptions!$D$89*IF(Assumptions!K$191=2027,1+Assumptions!$F$175,1)/12,1.1*Assumptions!K$202)-Assumptions!K$202)+Assumptions!K$207*MAX(0,MIN(Assumptions!$D$89*IF(Assumptions!K$191=2027,1+Assumptions!$F$175,1)/12,1.5*Assumptions!K$202)-1.1*Assumptions!K$202)+Assumptions!K$209*MAX(0,Assumptions!$D$89*IF(Assumptions!K$191=2027,1+Assumptions!$F$175,1)/12-1.5*Assumptions!K$202)))</f>
        <v>3359.103968</v>
      </c>
      <c r="L71" s="65" t="n">
        <f aca="false">L22*(MIN(Assumptions!$D$89*IF(Assumptions!L$191=2027,1+Assumptions!$F$175,1)/12,Assumptions!L$202)*Assumptions!L$203+(Assumptions!L$205*MAX(0,MIN(Assumptions!$D$89*IF(Assumptions!L$191=2027,1+Assumptions!$F$175,1)/12,1.1*Assumptions!L$202)-Assumptions!L$202)+Assumptions!L$207*MAX(0,MIN(Assumptions!$D$89*IF(Assumptions!L$191=2027,1+Assumptions!$F$175,1)/12,1.5*Assumptions!L$202)-1.1*Assumptions!L$202)+Assumptions!L$209*MAX(0,Assumptions!$D$89*IF(Assumptions!L$191=2027,1+Assumptions!$F$175,1)/12-1.5*Assumptions!L$202)))</f>
        <v>3359.103968</v>
      </c>
      <c r="M71" s="65" t="n">
        <f aca="false">M22*(MIN(Assumptions!$D$89*IF(Assumptions!M$191=2027,1+Assumptions!$F$175,1)/12,Assumptions!M$202)*Assumptions!M$203+(Assumptions!M$205*MAX(0,MIN(Assumptions!$D$89*IF(Assumptions!M$191=2027,1+Assumptions!$F$175,1)/12,1.1*Assumptions!M$202)-Assumptions!M$202)+Assumptions!M$207*MAX(0,MIN(Assumptions!$D$89*IF(Assumptions!M$191=2027,1+Assumptions!$F$175,1)/12,1.5*Assumptions!M$202)-1.1*Assumptions!M$202)+Assumptions!M$209*MAX(0,Assumptions!$D$89*IF(Assumptions!M$191=2027,1+Assumptions!$F$175,1)/12-1.5*Assumptions!M$202)))</f>
        <v>3336.70994154667</v>
      </c>
      <c r="N71" s="65" t="n">
        <f aca="false">N22*(MIN(Assumptions!$D$89*IF(Assumptions!N$191=2027,1+Assumptions!$F$175,1)/12,Assumptions!N$202)*Assumptions!N$203+(Assumptions!N$205*MAX(0,MIN(Assumptions!$D$89*IF(Assumptions!N$191=2027,1+Assumptions!$F$175,1)/12,1.1*Assumptions!N$202)-Assumptions!N$202)+Assumptions!N$207*MAX(0,MIN(Assumptions!$D$89*IF(Assumptions!N$191=2027,1+Assumptions!$F$175,1)/12,1.5*Assumptions!N$202)-1.1*Assumptions!N$202)+Assumptions!N$209*MAX(0,Assumptions!$D$89*IF(Assumptions!N$191=2027,1+Assumptions!$F$175,1)/12-1.5*Assumptions!N$202)))</f>
        <v>3314.46520860302</v>
      </c>
      <c r="O71" s="65" t="n">
        <f aca="false">O22*(MIN(Assumptions!$D$89*IF(Assumptions!O$191=2027,1+Assumptions!$F$175,1)/12,Assumptions!O$202)*Assumptions!O$203+(Assumptions!O$205*MAX(0,MIN(Assumptions!$D$89*IF(Assumptions!O$191=2027,1+Assumptions!$F$175,1)/12,1.1*Assumptions!O$202)-Assumptions!O$202)+Assumptions!O$207*MAX(0,MIN(Assumptions!$D$89*IF(Assumptions!O$191=2027,1+Assumptions!$F$175,1)/12,1.5*Assumptions!O$202)-1.1*Assumptions!O$202)+Assumptions!O$209*MAX(0,Assumptions!$D$89*IF(Assumptions!O$191=2027,1+Assumptions!$F$175,1)/12-1.5*Assumptions!O$202)))</f>
        <v>3314.76280033234</v>
      </c>
      <c r="P71" s="65" t="n">
        <f aca="false">P22*(MIN(Assumptions!$D$89*IF(Assumptions!P$191=2027,1+Assumptions!$F$175,1)/12,Assumptions!P$202)*Assumptions!P$203+(Assumptions!P$205*MAX(0,MIN(Assumptions!$D$89*IF(Assumptions!P$191=2027,1+Assumptions!$F$175,1)/12,1.1*Assumptions!P$202)-Assumptions!P$202)+Assumptions!P$207*MAX(0,MIN(Assumptions!$D$89*IF(Assumptions!P$191=2027,1+Assumptions!$F$175,1)/12,1.5*Assumptions!P$202)-1.1*Assumptions!P$202)+Assumptions!P$209*MAX(0,Assumptions!$D$89*IF(Assumptions!P$191=2027,1+Assumptions!$F$175,1)/12-1.5*Assumptions!P$202)))</f>
        <v>3314.9091146071</v>
      </c>
      <c r="Q71" s="65" t="n">
        <f aca="false">Q22*(MIN(Assumptions!$D$89*IF(Assumptions!Q$191=2027,1+Assumptions!$F$175,1)/12,Assumptions!Q$202)*Assumptions!Q$203+(Assumptions!Q$205*MAX(0,MIN(Assumptions!$D$89*IF(Assumptions!Q$191=2027,1+Assumptions!$F$175,1)/12,1.1*Assumptions!Q$202)-Assumptions!Q$202)+Assumptions!Q$207*MAX(0,MIN(Assumptions!$D$89*IF(Assumptions!Q$191=2027,1+Assumptions!$F$175,1)/12,1.5*Assumptions!Q$202)-1.1*Assumptions!Q$202)+Assumptions!Q$209*MAX(0,Assumptions!$D$89*IF(Assumptions!Q$191=2027,1+Assumptions!$F$175,1)/12-1.5*Assumptions!Q$202)))</f>
        <v>3461.58797110469</v>
      </c>
      <c r="R71" s="65" t="n">
        <f aca="false">R22*(MIN(Assumptions!$D$89*IF(Assumptions!R$191=2027,1+Assumptions!$F$175,1)/12,Assumptions!R$202)*Assumptions!R$203+(Assumptions!R$205*MAX(0,MIN(Assumptions!$D$89*IF(Assumptions!R$191=2027,1+Assumptions!$F$175,1)/12,1.1*Assumptions!R$202)-Assumptions!R$202)+Assumptions!R$207*MAX(0,MIN(Assumptions!$D$89*IF(Assumptions!R$191=2027,1+Assumptions!$F$175,1)/12,1.5*Assumptions!R$202)-1.1*Assumptions!R$202)+Assumptions!R$209*MAX(0,Assumptions!$D$89*IF(Assumptions!R$191=2027,1+Assumptions!$F$175,1)/12-1.5*Assumptions!R$202)))</f>
        <v>3461.58697311645</v>
      </c>
      <c r="S71" s="65" t="n">
        <f aca="false">S22*(MIN(Assumptions!$D$89*IF(Assumptions!S$191=2027,1+Assumptions!$F$175,1)/12,Assumptions!S$202)*Assumptions!S$203+(Assumptions!S$205*MAX(0,MIN(Assumptions!$D$89*IF(Assumptions!S$191=2027,1+Assumptions!$F$175,1)/12,1.1*Assumptions!S$202)-Assumptions!S$202)+Assumptions!S$207*MAX(0,MIN(Assumptions!$D$89*IF(Assumptions!S$191=2027,1+Assumptions!$F$175,1)/12,1.5*Assumptions!S$202)-1.1*Assumptions!S$202)+Assumptions!S$209*MAX(0,Assumptions!$D$89*IF(Assumptions!S$191=2027,1+Assumptions!$F$175,1)/12-1.5*Assumptions!S$202)))</f>
        <v>3461.58700037186</v>
      </c>
      <c r="T71" s="65" t="n">
        <f aca="false">T22*(MIN(Assumptions!$D$89*IF(Assumptions!T$191=2027,1+Assumptions!$F$175,1)/12,Assumptions!T$202)*Assumptions!T$203+(Assumptions!T$205*MAX(0,MIN(Assumptions!$D$89*IF(Assumptions!T$191=2027,1+Assumptions!$F$175,1)/12,1.1*Assumptions!T$202)-Assumptions!T$202)+Assumptions!T$207*MAX(0,MIN(Assumptions!$D$89*IF(Assumptions!T$191=2027,1+Assumptions!$F$175,1)/12,1.5*Assumptions!T$202)-1.1*Assumptions!T$202)+Assumptions!T$209*MAX(0,Assumptions!$D$89*IF(Assumptions!T$191=2027,1+Assumptions!$F$175,1)/12-1.5*Assumptions!T$202)))</f>
        <v>3461.58700684341</v>
      </c>
      <c r="U71" s="65" t="n">
        <f aca="false">U22*(MIN(Assumptions!$D$89*IF(Assumptions!U$191=2027,1+Assumptions!$F$175,1)/12,Assumptions!U$202)*Assumptions!U$203+(Assumptions!U$205*MAX(0,MIN(Assumptions!$D$89*IF(Assumptions!U$191=2027,1+Assumptions!$F$175,1)/12,1.1*Assumptions!U$202)-Assumptions!U$202)+Assumptions!U$207*MAX(0,MIN(Assumptions!$D$89*IF(Assumptions!U$191=2027,1+Assumptions!$F$175,1)/12,1.5*Assumptions!U$202)-1.1*Assumptions!U$202)+Assumptions!U$209*MAX(0,Assumptions!$D$89*IF(Assumptions!U$191=2027,1+Assumptions!$F$175,1)/12-1.5*Assumptions!U$202)))</f>
        <v>3461.58700661857</v>
      </c>
      <c r="V71" s="65" t="n">
        <f aca="false">V22*(MIN(Assumptions!$D$89*IF(Assumptions!V$191=2027,1+Assumptions!$F$175,1)/12,Assumptions!V$202)*Assumptions!V$203+(Assumptions!V$205*MAX(0,MIN(Assumptions!$D$89*IF(Assumptions!V$191=2027,1+Assumptions!$F$175,1)/12,1.1*Assumptions!V$202)-Assumptions!V$202)+Assumptions!V$207*MAX(0,MIN(Assumptions!$D$89*IF(Assumptions!V$191=2027,1+Assumptions!$F$175,1)/12,1.5*Assumptions!V$202)-1.1*Assumptions!V$202)+Assumptions!V$209*MAX(0,Assumptions!$D$89*IF(Assumptions!V$191=2027,1+Assumptions!$F$175,1)/12-1.5*Assumptions!V$202)))</f>
        <v>3461.58700657692</v>
      </c>
      <c r="W71" s="65" t="n">
        <f aca="false">W22*(MIN(Assumptions!$D$89*IF(Assumptions!W$191=2027,1+Assumptions!$F$175,1)/12,Assumptions!W$202)*Assumptions!W$203+(Assumptions!W$205*MAX(0,MIN(Assumptions!$D$89*IF(Assumptions!W$191=2027,1+Assumptions!$F$175,1)/12,1.1*Assumptions!W$202)-Assumptions!W$202)+Assumptions!W$207*MAX(0,MIN(Assumptions!$D$89*IF(Assumptions!W$191=2027,1+Assumptions!$F$175,1)/12,1.5*Assumptions!W$202)-1.1*Assumptions!W$202)+Assumptions!W$209*MAX(0,Assumptions!$D$89*IF(Assumptions!W$191=2027,1+Assumptions!$F$175,1)/12-1.5*Assumptions!W$202)))</f>
        <v>3461.5870065787</v>
      </c>
      <c r="X71" s="65" t="n">
        <f aca="false">X22*(MIN(Assumptions!$D$89*IF(Assumptions!X$191=2027,1+Assumptions!$F$175,1)/12,Assumptions!X$202)*Assumptions!X$203+(Assumptions!X$205*MAX(0,MIN(Assumptions!$D$89*IF(Assumptions!X$191=2027,1+Assumptions!$F$175,1)/12,1.1*Assumptions!X$202)-Assumptions!X$202)+Assumptions!X$207*MAX(0,MIN(Assumptions!$D$89*IF(Assumptions!X$191=2027,1+Assumptions!$F$175,1)/12,1.5*Assumptions!X$202)-1.1*Assumptions!X$202)+Assumptions!X$209*MAX(0,Assumptions!$D$89*IF(Assumptions!X$191=2027,1+Assumptions!$F$175,1)/12-1.5*Assumptions!X$202)))</f>
        <v>3461.58700657896</v>
      </c>
      <c r="Y71" s="65" t="n">
        <f aca="false">Y22*(MIN(Assumptions!$D$89*IF(Assumptions!Y$191=2027,1+Assumptions!$F$175,1)/12,Assumptions!Y$202)*Assumptions!Y$203+(Assumptions!Y$205*MAX(0,MIN(Assumptions!$D$89*IF(Assumptions!Y$191=2027,1+Assumptions!$F$175,1)/12,1.1*Assumptions!Y$202)-Assumptions!Y$202)+Assumptions!Y$207*MAX(0,MIN(Assumptions!$D$89*IF(Assumptions!Y$191=2027,1+Assumptions!$F$175,1)/12,1.5*Assumptions!Y$202)-1.1*Assumptions!Y$202)+Assumptions!Y$209*MAX(0,Assumptions!$D$89*IF(Assumptions!Y$191=2027,1+Assumptions!$F$175,1)/12-1.5*Assumptions!Y$202)))</f>
        <v>3461.58700657895</v>
      </c>
      <c r="Z71" s="65" t="n">
        <f aca="false">Z22*(MIN(Assumptions!$D$89*IF(Assumptions!Z$191=2027,1+Assumptions!$F$175,1)/12,Assumptions!Z$202)*Assumptions!Z$203+(Assumptions!Z$205*MAX(0,MIN(Assumptions!$D$89*IF(Assumptions!Z$191=2027,1+Assumptions!$F$175,1)/12,1.1*Assumptions!Z$202)-Assumptions!Z$202)+Assumptions!Z$207*MAX(0,MIN(Assumptions!$D$89*IF(Assumptions!Z$191=2027,1+Assumptions!$F$175,1)/12,1.5*Assumptions!Z$202)-1.1*Assumptions!Z$202)+Assumptions!Z$209*MAX(0,Assumptions!$D$89*IF(Assumptions!Z$191=2027,1+Assumptions!$F$175,1)/12-1.5*Assumptions!Z$202)))</f>
        <v>3461.58700657895</v>
      </c>
      <c r="AA71" s="65" t="n">
        <f aca="false">AA22*(MIN(Assumptions!$D$89*IF(Assumptions!AA$191=2027,1+Assumptions!$F$175,1)/12,Assumptions!AA$202)*Assumptions!AA$203+(Assumptions!AA$205*MAX(0,MIN(Assumptions!$D$89*IF(Assumptions!AA$191=2027,1+Assumptions!$F$175,1)/12,1.1*Assumptions!AA$202)-Assumptions!AA$202)+Assumptions!AA$207*MAX(0,MIN(Assumptions!$D$89*IF(Assumptions!AA$191=2027,1+Assumptions!$F$175,1)/12,1.5*Assumptions!AA$202)-1.1*Assumptions!AA$202)+Assumptions!AA$209*MAX(0,Assumptions!$D$89*IF(Assumptions!AA$191=2027,1+Assumptions!$F$175,1)/12-1.5*Assumptions!AA$202)))</f>
        <v>3461.58700657895</v>
      </c>
      <c r="AB71" s="65" t="n">
        <f aca="false">AB22*(MIN(Assumptions!$D$89*IF(Assumptions!AB$191=2027,1+Assumptions!$F$175,1)/12,Assumptions!AB$202)*Assumptions!AB$203+(Assumptions!AB$205*MAX(0,MIN(Assumptions!$D$89*IF(Assumptions!AB$191=2027,1+Assumptions!$F$175,1)/12,1.1*Assumptions!AB$202)-Assumptions!AB$202)+Assumptions!AB$207*MAX(0,MIN(Assumptions!$D$89*IF(Assumptions!AB$191=2027,1+Assumptions!$F$175,1)/12,1.5*Assumptions!AB$202)-1.1*Assumptions!AB$202)+Assumptions!AB$209*MAX(0,Assumptions!$D$89*IF(Assumptions!AB$191=2027,1+Assumptions!$F$175,1)/12-1.5*Assumptions!AB$202)))</f>
        <v>3461.58700657895</v>
      </c>
    </row>
    <row r="72" customFormat="false" ht="15" hidden="false" customHeight="false" outlineLevel="0" collapsed="false">
      <c r="A72" s="28" t="s">
        <v>1121</v>
      </c>
      <c r="B72" s="63" t="s">
        <v>1107</v>
      </c>
      <c r="C72" s="64" t="n">
        <f aca="false">SUM(E72:P72)</f>
        <v>59247.9535742967</v>
      </c>
      <c r="D72" s="64" t="n">
        <f aca="false">SUM(Q72:AB72)</f>
        <v>60900.3886919003</v>
      </c>
      <c r="E72" s="65" t="n">
        <f aca="false">E23*(MIN(Assumptions!$D$90*IF(Assumptions!E$191=2027,1+Assumptions!$F$175,1)/12,Assumptions!E$202)*Assumptions!E$203+(Assumptions!E$205*MAX(0,MIN(Assumptions!$D$90*IF(Assumptions!E$191=2027,1+Assumptions!$F$175,1)/12,1.1*Assumptions!E$202)-Assumptions!E$202)+Assumptions!E$207*MAX(0,MIN(Assumptions!$D$90*IF(Assumptions!E$191=2027,1+Assumptions!$F$175,1)/12,1.5*Assumptions!E$202)-1.1*Assumptions!E$202)+Assumptions!E$209*MAX(0,Assumptions!$D$90*IF(Assumptions!E$191=2027,1+Assumptions!$F$175,1)/12-1.5*Assumptions!E$202)))</f>
        <v>4956.45833333333</v>
      </c>
      <c r="F72" s="65" t="n">
        <f aca="false">F23*(MIN(Assumptions!$D$90*IF(Assumptions!F$191=2027,1+Assumptions!$F$175,1)/12,Assumptions!F$202)*Assumptions!F$203+(Assumptions!F$205*MAX(0,MIN(Assumptions!$D$90*IF(Assumptions!F$191=2027,1+Assumptions!$F$175,1)/12,1.1*Assumptions!F$202)-Assumptions!F$202)+Assumptions!F$207*MAX(0,MIN(Assumptions!$D$90*IF(Assumptions!F$191=2027,1+Assumptions!$F$175,1)/12,1.5*Assumptions!F$202)-1.1*Assumptions!F$202)+Assumptions!F$209*MAX(0,Assumptions!$D$90*IF(Assumptions!F$191=2027,1+Assumptions!$F$175,1)/12-1.5*Assumptions!F$202)))</f>
        <v>4956.45833333333</v>
      </c>
      <c r="G72" s="65" t="n">
        <f aca="false">G23*(MIN(Assumptions!$D$90*IF(Assumptions!G$191=2027,1+Assumptions!$F$175,1)/12,Assumptions!G$202)*Assumptions!G$203+(Assumptions!G$205*MAX(0,MIN(Assumptions!$D$90*IF(Assumptions!G$191=2027,1+Assumptions!$F$175,1)/12,1.1*Assumptions!G$202)-Assumptions!G$202)+Assumptions!G$207*MAX(0,MIN(Assumptions!$D$90*IF(Assumptions!G$191=2027,1+Assumptions!$F$175,1)/12,1.5*Assumptions!G$202)-1.1*Assumptions!G$202)+Assumptions!G$209*MAX(0,Assumptions!$D$90*IF(Assumptions!G$191=2027,1+Assumptions!$F$175,1)/12-1.5*Assumptions!G$202)))</f>
        <v>4956.45833333333</v>
      </c>
      <c r="H72" s="65" t="n">
        <f aca="false">H23*(MIN(Assumptions!$D$90*IF(Assumptions!H$191=2027,1+Assumptions!$F$175,1)/12,Assumptions!H$202)*Assumptions!H$203+(Assumptions!H$205*MAX(0,MIN(Assumptions!$D$90*IF(Assumptions!H$191=2027,1+Assumptions!$F$175,1)/12,1.1*Assumptions!H$202)-Assumptions!H$202)+Assumptions!H$207*MAX(0,MIN(Assumptions!$D$90*IF(Assumptions!H$191=2027,1+Assumptions!$F$175,1)/12,1.5*Assumptions!H$202)-1.1*Assumptions!H$202)+Assumptions!H$209*MAX(0,Assumptions!$D$90*IF(Assumptions!H$191=2027,1+Assumptions!$F$175,1)/12-1.5*Assumptions!H$202)))</f>
        <v>4956.45833333333</v>
      </c>
      <c r="I72" s="65" t="n">
        <f aca="false">I23*(MIN(Assumptions!$D$90*IF(Assumptions!I$191=2027,1+Assumptions!$F$175,1)/12,Assumptions!I$202)*Assumptions!I$203+(Assumptions!I$205*MAX(0,MIN(Assumptions!$D$90*IF(Assumptions!I$191=2027,1+Assumptions!$F$175,1)/12,1.1*Assumptions!I$202)-Assumptions!I$202)+Assumptions!I$207*MAX(0,MIN(Assumptions!$D$90*IF(Assumptions!I$191=2027,1+Assumptions!$F$175,1)/12,1.5*Assumptions!I$202)-1.1*Assumptions!I$202)+Assumptions!I$209*MAX(0,Assumptions!$D$90*IF(Assumptions!I$191=2027,1+Assumptions!$F$175,1)/12-1.5*Assumptions!I$202)))</f>
        <v>4956.45833333333</v>
      </c>
      <c r="J72" s="65" t="n">
        <f aca="false">J23*(MIN(Assumptions!$D$90*IF(Assumptions!J$191=2027,1+Assumptions!$F$175,1)/12,Assumptions!J$202)*Assumptions!J$203+(Assumptions!J$205*MAX(0,MIN(Assumptions!$D$90*IF(Assumptions!J$191=2027,1+Assumptions!$F$175,1)/12,1.1*Assumptions!J$202)-Assumptions!J$202)+Assumptions!J$207*MAX(0,MIN(Assumptions!$D$90*IF(Assumptions!J$191=2027,1+Assumptions!$F$175,1)/12,1.5*Assumptions!J$202)-1.1*Assumptions!J$202)+Assumptions!J$209*MAX(0,Assumptions!$D$90*IF(Assumptions!J$191=2027,1+Assumptions!$F$175,1)/12-1.5*Assumptions!J$202)))</f>
        <v>4956.45833333333</v>
      </c>
      <c r="K72" s="65" t="n">
        <f aca="false">K23*(MIN(Assumptions!$D$90*IF(Assumptions!K$191=2027,1+Assumptions!$F$175,1)/12,Assumptions!K$202)*Assumptions!K$203+(Assumptions!K$205*MAX(0,MIN(Assumptions!$D$90*IF(Assumptions!K$191=2027,1+Assumptions!$F$175,1)/12,1.1*Assumptions!K$202)-Assumptions!K$202)+Assumptions!K$207*MAX(0,MIN(Assumptions!$D$90*IF(Assumptions!K$191=2027,1+Assumptions!$F$175,1)/12,1.5*Assumptions!K$202)-1.1*Assumptions!K$202)+Assumptions!K$209*MAX(0,Assumptions!$D$90*IF(Assumptions!K$191=2027,1+Assumptions!$F$175,1)/12-1.5*Assumptions!K$202)))</f>
        <v>4956.45833333333</v>
      </c>
      <c r="L72" s="65" t="n">
        <f aca="false">L23*(MIN(Assumptions!$D$90*IF(Assumptions!L$191=2027,1+Assumptions!$F$175,1)/12,Assumptions!L$202)*Assumptions!L$203+(Assumptions!L$205*MAX(0,MIN(Assumptions!$D$90*IF(Assumptions!L$191=2027,1+Assumptions!$F$175,1)/12,1.1*Assumptions!L$202)-Assumptions!L$202)+Assumptions!L$207*MAX(0,MIN(Assumptions!$D$90*IF(Assumptions!L$191=2027,1+Assumptions!$F$175,1)/12,1.5*Assumptions!L$202)-1.1*Assumptions!L$202)+Assumptions!L$209*MAX(0,Assumptions!$D$90*IF(Assumptions!L$191=2027,1+Assumptions!$F$175,1)/12-1.5*Assumptions!L$202)))</f>
        <v>4956.45833333333</v>
      </c>
      <c r="M72" s="65" t="n">
        <f aca="false">M23*(MIN(Assumptions!$D$90*IF(Assumptions!M$191=2027,1+Assumptions!$F$175,1)/12,Assumptions!M$202)*Assumptions!M$203+(Assumptions!M$205*MAX(0,MIN(Assumptions!$D$90*IF(Assumptions!M$191=2027,1+Assumptions!$F$175,1)/12,1.1*Assumptions!M$202)-Assumptions!M$202)+Assumptions!M$207*MAX(0,MIN(Assumptions!$D$90*IF(Assumptions!M$191=2027,1+Assumptions!$F$175,1)/12,1.5*Assumptions!M$202)-1.1*Assumptions!M$202)+Assumptions!M$209*MAX(0,Assumptions!$D$90*IF(Assumptions!M$191=2027,1+Assumptions!$F$175,1)/12-1.5*Assumptions!M$202)))</f>
        <v>4923.41527777778</v>
      </c>
      <c r="N72" s="65" t="n">
        <f aca="false">N23*(MIN(Assumptions!$D$90*IF(Assumptions!N$191=2027,1+Assumptions!$F$175,1)/12,Assumptions!N$202)*Assumptions!N$203+(Assumptions!N$205*MAX(0,MIN(Assumptions!$D$90*IF(Assumptions!N$191=2027,1+Assumptions!$F$175,1)/12,1.1*Assumptions!N$202)-Assumptions!N$202)+Assumptions!N$207*MAX(0,MIN(Assumptions!$D$90*IF(Assumptions!N$191=2027,1+Assumptions!$F$175,1)/12,1.5*Assumptions!N$202)-1.1*Assumptions!N$202)+Assumptions!N$209*MAX(0,Assumptions!$D$90*IF(Assumptions!N$191=2027,1+Assumptions!$F$175,1)/12-1.5*Assumptions!N$202)))</f>
        <v>4890.59250925926</v>
      </c>
      <c r="O72" s="65" t="n">
        <f aca="false">O23*(MIN(Assumptions!$D$90*IF(Assumptions!O$191=2027,1+Assumptions!$F$175,1)/12,Assumptions!O$202)*Assumptions!O$203+(Assumptions!O$205*MAX(0,MIN(Assumptions!$D$90*IF(Assumptions!O$191=2027,1+Assumptions!$F$175,1)/12,1.1*Assumptions!O$202)-Assumptions!O$202)+Assumptions!O$207*MAX(0,MIN(Assumptions!$D$90*IF(Assumptions!O$191=2027,1+Assumptions!$F$175,1)/12,1.5*Assumptions!O$202)-1.1*Assumptions!O$202)+Assumptions!O$209*MAX(0,Assumptions!$D$90*IF(Assumptions!O$191=2027,1+Assumptions!$F$175,1)/12-1.5*Assumptions!O$202)))</f>
        <v>4891.03161475309</v>
      </c>
      <c r="P72" s="65" t="n">
        <f aca="false">P23*(MIN(Assumptions!$D$90*IF(Assumptions!P$191=2027,1+Assumptions!$F$175,1)/12,Assumptions!P$202)*Assumptions!P$203+(Assumptions!P$205*MAX(0,MIN(Assumptions!$D$90*IF(Assumptions!P$191=2027,1+Assumptions!$F$175,1)/12,1.1*Assumptions!P$202)-Assumptions!P$202)+Assumptions!P$207*MAX(0,MIN(Assumptions!$D$90*IF(Assumptions!P$191=2027,1+Assumptions!$F$175,1)/12,1.5*Assumptions!P$202)-1.1*Assumptions!P$202)+Assumptions!P$209*MAX(0,Assumptions!$D$90*IF(Assumptions!P$191=2027,1+Assumptions!$F$175,1)/12-1.5*Assumptions!P$202)))</f>
        <v>4891.24750583992</v>
      </c>
      <c r="Q72" s="65" t="n">
        <f aca="false">Q23*(MIN(Assumptions!$D$90*IF(Assumptions!Q$191=2027,1+Assumptions!$F$175,1)/12,Assumptions!Q$202)*Assumptions!Q$203+(Assumptions!Q$205*MAX(0,MIN(Assumptions!$D$90*IF(Assumptions!Q$191=2027,1+Assumptions!$F$175,1)/12,1.1*Assumptions!Q$202)-Assumptions!Q$202)+Assumptions!Q$207*MAX(0,MIN(Assumptions!$D$90*IF(Assumptions!Q$191=2027,1+Assumptions!$F$175,1)/12,1.5*Assumptions!Q$202)-1.1*Assumptions!Q$202)+Assumptions!Q$209*MAX(0,Assumptions!$D$90*IF(Assumptions!Q$191=2027,1+Assumptions!$F$175,1)/12-1.5*Assumptions!Q$202)))</f>
        <v>5075.03369205159</v>
      </c>
      <c r="R72" s="65" t="n">
        <f aca="false">R23*(MIN(Assumptions!$D$90*IF(Assumptions!R$191=2027,1+Assumptions!$F$175,1)/12,Assumptions!R$202)*Assumptions!R$203+(Assumptions!R$205*MAX(0,MIN(Assumptions!$D$90*IF(Assumptions!R$191=2027,1+Assumptions!$F$175,1)/12,1.1*Assumptions!R$202)-Assumptions!R$202)+Assumptions!R$207*MAX(0,MIN(Assumptions!$D$90*IF(Assumptions!R$191=2027,1+Assumptions!$F$175,1)/12,1.5*Assumptions!R$202)-1.1*Assumptions!R$202)+Assumptions!R$209*MAX(0,Assumptions!$D$90*IF(Assumptions!R$191=2027,1+Assumptions!$F$175,1)/12-1.5*Assumptions!R$202)))</f>
        <v>5075.03222890117</v>
      </c>
      <c r="S72" s="65" t="n">
        <f aca="false">S23*(MIN(Assumptions!$D$90*IF(Assumptions!S$191=2027,1+Assumptions!$F$175,1)/12,Assumptions!S$202)*Assumptions!S$203+(Assumptions!S$205*MAX(0,MIN(Assumptions!$D$90*IF(Assumptions!S$191=2027,1+Assumptions!$F$175,1)/12,1.1*Assumptions!S$202)-Assumptions!S$202)+Assumptions!S$207*MAX(0,MIN(Assumptions!$D$90*IF(Assumptions!S$191=2027,1+Assumptions!$F$175,1)/12,1.5*Assumptions!S$202)-1.1*Assumptions!S$202)+Assumptions!S$209*MAX(0,Assumptions!$D$90*IF(Assumptions!S$191=2027,1+Assumptions!$F$175,1)/12-1.5*Assumptions!S$202)))</f>
        <v>5075.03226886032</v>
      </c>
      <c r="T72" s="65" t="n">
        <f aca="false">T23*(MIN(Assumptions!$D$90*IF(Assumptions!T$191=2027,1+Assumptions!$F$175,1)/12,Assumptions!T$202)*Assumptions!T$203+(Assumptions!T$205*MAX(0,MIN(Assumptions!$D$90*IF(Assumptions!T$191=2027,1+Assumptions!$F$175,1)/12,1.1*Assumptions!T$202)-Assumptions!T$202)+Assumptions!T$207*MAX(0,MIN(Assumptions!$D$90*IF(Assumptions!T$191=2027,1+Assumptions!$F$175,1)/12,1.5*Assumptions!T$202)-1.1*Assumptions!T$202)+Assumptions!T$209*MAX(0,Assumptions!$D$90*IF(Assumptions!T$191=2027,1+Assumptions!$F$175,1)/12-1.5*Assumptions!T$202)))</f>
        <v>5075.03227834826</v>
      </c>
      <c r="U72" s="65" t="n">
        <f aca="false">U23*(MIN(Assumptions!$D$90*IF(Assumptions!U$191=2027,1+Assumptions!$F$175,1)/12,Assumptions!U$202)*Assumptions!U$203+(Assumptions!U$205*MAX(0,MIN(Assumptions!$D$90*IF(Assumptions!U$191=2027,1+Assumptions!$F$175,1)/12,1.1*Assumptions!U$202)-Assumptions!U$202)+Assumptions!U$207*MAX(0,MIN(Assumptions!$D$90*IF(Assumptions!U$191=2027,1+Assumptions!$F$175,1)/12,1.5*Assumptions!U$202)-1.1*Assumptions!U$202)+Assumptions!U$209*MAX(0,Assumptions!$D$90*IF(Assumptions!U$191=2027,1+Assumptions!$F$175,1)/12-1.5*Assumptions!U$202)))</f>
        <v>5075.03227801861</v>
      </c>
      <c r="V72" s="65" t="n">
        <f aca="false">V23*(MIN(Assumptions!$D$90*IF(Assumptions!V$191=2027,1+Assumptions!$F$175,1)/12,Assumptions!V$202)*Assumptions!V$203+(Assumptions!V$205*MAX(0,MIN(Assumptions!$D$90*IF(Assumptions!V$191=2027,1+Assumptions!$F$175,1)/12,1.1*Assumptions!V$202)-Assumptions!V$202)+Assumptions!V$207*MAX(0,MIN(Assumptions!$D$90*IF(Assumptions!V$191=2027,1+Assumptions!$F$175,1)/12,1.5*Assumptions!V$202)-1.1*Assumptions!V$202)+Assumptions!V$209*MAX(0,Assumptions!$D$90*IF(Assumptions!V$191=2027,1+Assumptions!$F$175,1)/12-1.5*Assumptions!V$202)))</f>
        <v>5075.03227795755</v>
      </c>
      <c r="W72" s="65" t="n">
        <f aca="false">W23*(MIN(Assumptions!$D$90*IF(Assumptions!W$191=2027,1+Assumptions!$F$175,1)/12,Assumptions!W$202)*Assumptions!W$203+(Assumptions!W$205*MAX(0,MIN(Assumptions!$D$90*IF(Assumptions!W$191=2027,1+Assumptions!$F$175,1)/12,1.1*Assumptions!W$202)-Assumptions!W$202)+Assumptions!W$207*MAX(0,MIN(Assumptions!$D$90*IF(Assumptions!W$191=2027,1+Assumptions!$F$175,1)/12,1.5*Assumptions!W$202)-1.1*Assumptions!W$202)+Assumptions!W$209*MAX(0,Assumptions!$D$90*IF(Assumptions!W$191=2027,1+Assumptions!$F$175,1)/12-1.5*Assumptions!W$202)))</f>
        <v>5075.03227796016</v>
      </c>
      <c r="X72" s="65" t="n">
        <f aca="false">X23*(MIN(Assumptions!$D$90*IF(Assumptions!X$191=2027,1+Assumptions!$F$175,1)/12,Assumptions!X$202)*Assumptions!X$203+(Assumptions!X$205*MAX(0,MIN(Assumptions!$D$90*IF(Assumptions!X$191=2027,1+Assumptions!$F$175,1)/12,1.1*Assumptions!X$202)-Assumptions!X$202)+Assumptions!X$207*MAX(0,MIN(Assumptions!$D$90*IF(Assumptions!X$191=2027,1+Assumptions!$F$175,1)/12,1.5*Assumptions!X$202)-1.1*Assumptions!X$202)+Assumptions!X$209*MAX(0,Assumptions!$D$90*IF(Assumptions!X$191=2027,1+Assumptions!$F$175,1)/12-1.5*Assumptions!X$202)))</f>
        <v>5075.03227796055</v>
      </c>
      <c r="Y72" s="65" t="n">
        <f aca="false">Y23*(MIN(Assumptions!$D$90*IF(Assumptions!Y$191=2027,1+Assumptions!$F$175,1)/12,Assumptions!Y$202)*Assumptions!Y$203+(Assumptions!Y$205*MAX(0,MIN(Assumptions!$D$90*IF(Assumptions!Y$191=2027,1+Assumptions!$F$175,1)/12,1.1*Assumptions!Y$202)-Assumptions!Y$202)+Assumptions!Y$207*MAX(0,MIN(Assumptions!$D$90*IF(Assumptions!Y$191=2027,1+Assumptions!$F$175,1)/12,1.5*Assumptions!Y$202)-1.1*Assumptions!Y$202)+Assumptions!Y$209*MAX(0,Assumptions!$D$90*IF(Assumptions!Y$191=2027,1+Assumptions!$F$175,1)/12-1.5*Assumptions!Y$202)))</f>
        <v>5075.03227796053</v>
      </c>
      <c r="Z72" s="65" t="n">
        <f aca="false">Z23*(MIN(Assumptions!$D$90*IF(Assumptions!Z$191=2027,1+Assumptions!$F$175,1)/12,Assumptions!Z$202)*Assumptions!Z$203+(Assumptions!Z$205*MAX(0,MIN(Assumptions!$D$90*IF(Assumptions!Z$191=2027,1+Assumptions!$F$175,1)/12,1.1*Assumptions!Z$202)-Assumptions!Z$202)+Assumptions!Z$207*MAX(0,MIN(Assumptions!$D$90*IF(Assumptions!Z$191=2027,1+Assumptions!$F$175,1)/12,1.5*Assumptions!Z$202)-1.1*Assumptions!Z$202)+Assumptions!Z$209*MAX(0,Assumptions!$D$90*IF(Assumptions!Z$191=2027,1+Assumptions!$F$175,1)/12-1.5*Assumptions!Z$202)))</f>
        <v>5075.03227796053</v>
      </c>
      <c r="AA72" s="65" t="n">
        <f aca="false">AA23*(MIN(Assumptions!$D$90*IF(Assumptions!AA$191=2027,1+Assumptions!$F$175,1)/12,Assumptions!AA$202)*Assumptions!AA$203+(Assumptions!AA$205*MAX(0,MIN(Assumptions!$D$90*IF(Assumptions!AA$191=2027,1+Assumptions!$F$175,1)/12,1.1*Assumptions!AA$202)-Assumptions!AA$202)+Assumptions!AA$207*MAX(0,MIN(Assumptions!$D$90*IF(Assumptions!AA$191=2027,1+Assumptions!$F$175,1)/12,1.5*Assumptions!AA$202)-1.1*Assumptions!AA$202)+Assumptions!AA$209*MAX(0,Assumptions!$D$90*IF(Assumptions!AA$191=2027,1+Assumptions!$F$175,1)/12-1.5*Assumptions!AA$202)))</f>
        <v>5075.03227796053</v>
      </c>
      <c r="AB72" s="65" t="n">
        <f aca="false">AB23*(MIN(Assumptions!$D$90*IF(Assumptions!AB$191=2027,1+Assumptions!$F$175,1)/12,Assumptions!AB$202)*Assumptions!AB$203+(Assumptions!AB$205*MAX(0,MIN(Assumptions!$D$90*IF(Assumptions!AB$191=2027,1+Assumptions!$F$175,1)/12,1.1*Assumptions!AB$202)-Assumptions!AB$202)+Assumptions!AB$207*MAX(0,MIN(Assumptions!$D$90*IF(Assumptions!AB$191=2027,1+Assumptions!$F$175,1)/12,1.5*Assumptions!AB$202)-1.1*Assumptions!AB$202)+Assumptions!AB$209*MAX(0,Assumptions!$D$90*IF(Assumptions!AB$191=2027,1+Assumptions!$F$175,1)/12-1.5*Assumptions!AB$202)))</f>
        <v>5075.03227796053</v>
      </c>
    </row>
    <row r="73" customFormat="false" ht="15" hidden="false" customHeight="false" outlineLevel="0" collapsed="false">
      <c r="A73" s="28" t="s">
        <v>1122</v>
      </c>
      <c r="B73" s="63"/>
      <c r="C73" s="64" t="n">
        <f aca="false">SUM(E73:P73)</f>
        <v>12044.619184928</v>
      </c>
      <c r="D73" s="64" t="n">
        <f aca="false">SUM(Q73:AB73)</f>
        <v>12387.6520585807</v>
      </c>
      <c r="E73" s="65" t="n">
        <f aca="false">E9*(MIN(Assumptions!$D$76*IF(Assumptions!E$191=2027,1+Assumptions!$F$175,1)/12,Assumptions!E$202)*Assumptions!E$204+(Assumptions!E$206*MAX(0,MIN(Assumptions!$D$76*IF(Assumptions!E$191=2027,1+Assumptions!$F$175,1)/12,1.1*Assumptions!E$202)-Assumptions!E$202)+Assumptions!E$208*MAX(0,MIN(Assumptions!$D$76*IF(Assumptions!E$191=2027,1+Assumptions!$F$175,1)/12,1.5*Assumptions!E$202)-1.1*Assumptions!E$202)+Assumptions!E$210*MAX(0,Assumptions!$D$76*IF(Assumptions!E$191=2027,1+Assumptions!$F$175,1)/12-1.5*Assumptions!E$202)))</f>
        <v>1009.540368</v>
      </c>
      <c r="F73" s="65" t="n">
        <f aca="false">F9*(MIN(Assumptions!$D$76*IF(Assumptions!F$191=2027,1+Assumptions!$F$175,1)/12,Assumptions!F$202)*Assumptions!F$204+(Assumptions!F$206*MAX(0,MIN(Assumptions!$D$76*IF(Assumptions!F$191=2027,1+Assumptions!$F$175,1)/12,1.1*Assumptions!F$202)-Assumptions!F$202)+Assumptions!F$208*MAX(0,MIN(Assumptions!$D$76*IF(Assumptions!F$191=2027,1+Assumptions!$F$175,1)/12,1.5*Assumptions!F$202)-1.1*Assumptions!F$202)+Assumptions!F$210*MAX(0,Assumptions!$D$76*IF(Assumptions!F$191=2027,1+Assumptions!$F$175,1)/12-1.5*Assumptions!F$202)))</f>
        <v>1009.540368</v>
      </c>
      <c r="G73" s="65" t="n">
        <f aca="false">G9*(MIN(Assumptions!$D$76*IF(Assumptions!G$191=2027,1+Assumptions!$F$175,1)/12,Assumptions!G$202)*Assumptions!G$204+(Assumptions!G$206*MAX(0,MIN(Assumptions!$D$76*IF(Assumptions!G$191=2027,1+Assumptions!$F$175,1)/12,1.1*Assumptions!G$202)-Assumptions!G$202)+Assumptions!G$208*MAX(0,MIN(Assumptions!$D$76*IF(Assumptions!G$191=2027,1+Assumptions!$F$175,1)/12,1.5*Assumptions!G$202)-1.1*Assumptions!G$202)+Assumptions!G$210*MAX(0,Assumptions!$D$76*IF(Assumptions!G$191=2027,1+Assumptions!$F$175,1)/12-1.5*Assumptions!G$202)))</f>
        <v>1009.540368</v>
      </c>
      <c r="H73" s="65" t="n">
        <f aca="false">H9*(MIN(Assumptions!$D$76*IF(Assumptions!H$191=2027,1+Assumptions!$F$175,1)/12,Assumptions!H$202)*Assumptions!H$204+(Assumptions!H$206*MAX(0,MIN(Assumptions!$D$76*IF(Assumptions!H$191=2027,1+Assumptions!$F$175,1)/12,1.1*Assumptions!H$202)-Assumptions!H$202)+Assumptions!H$208*MAX(0,MIN(Assumptions!$D$76*IF(Assumptions!H$191=2027,1+Assumptions!$F$175,1)/12,1.5*Assumptions!H$202)-1.1*Assumptions!H$202)+Assumptions!H$210*MAX(0,Assumptions!$D$76*IF(Assumptions!H$191=2027,1+Assumptions!$F$175,1)/12-1.5*Assumptions!H$202)))</f>
        <v>1009.540368</v>
      </c>
      <c r="I73" s="65" t="n">
        <f aca="false">I9*(MIN(Assumptions!$D$76*IF(Assumptions!I$191=2027,1+Assumptions!$F$175,1)/12,Assumptions!I$202)*Assumptions!I$204+(Assumptions!I$206*MAX(0,MIN(Assumptions!$D$76*IF(Assumptions!I$191=2027,1+Assumptions!$F$175,1)/12,1.1*Assumptions!I$202)-Assumptions!I$202)+Assumptions!I$208*MAX(0,MIN(Assumptions!$D$76*IF(Assumptions!I$191=2027,1+Assumptions!$F$175,1)/12,1.5*Assumptions!I$202)-1.1*Assumptions!I$202)+Assumptions!I$210*MAX(0,Assumptions!$D$76*IF(Assumptions!I$191=2027,1+Assumptions!$F$175,1)/12-1.5*Assumptions!I$202)))</f>
        <v>1009.540368</v>
      </c>
      <c r="J73" s="65" t="n">
        <f aca="false">J9*(MIN(Assumptions!$D$76*IF(Assumptions!J$191=2027,1+Assumptions!$F$175,1)/12,Assumptions!J$202)*Assumptions!J$204+(Assumptions!J$206*MAX(0,MIN(Assumptions!$D$76*IF(Assumptions!J$191=2027,1+Assumptions!$F$175,1)/12,1.1*Assumptions!J$202)-Assumptions!J$202)+Assumptions!J$208*MAX(0,MIN(Assumptions!$D$76*IF(Assumptions!J$191=2027,1+Assumptions!$F$175,1)/12,1.5*Assumptions!J$202)-1.1*Assumptions!J$202)+Assumptions!J$210*MAX(0,Assumptions!$D$76*IF(Assumptions!J$191=2027,1+Assumptions!$F$175,1)/12-1.5*Assumptions!J$202)))</f>
        <v>1009.540368</v>
      </c>
      <c r="K73" s="65" t="n">
        <f aca="false">K9*(MIN(Assumptions!$D$76*IF(Assumptions!K$191=2027,1+Assumptions!$F$175,1)/12,Assumptions!K$202)*Assumptions!K$204+(Assumptions!K$206*MAX(0,MIN(Assumptions!$D$76*IF(Assumptions!K$191=2027,1+Assumptions!$F$175,1)/12,1.1*Assumptions!K$202)-Assumptions!K$202)+Assumptions!K$208*MAX(0,MIN(Assumptions!$D$76*IF(Assumptions!K$191=2027,1+Assumptions!$F$175,1)/12,1.5*Assumptions!K$202)-1.1*Assumptions!K$202)+Assumptions!K$210*MAX(0,Assumptions!$D$76*IF(Assumptions!K$191=2027,1+Assumptions!$F$175,1)/12-1.5*Assumptions!K$202)))</f>
        <v>1009.540368</v>
      </c>
      <c r="L73" s="65" t="n">
        <f aca="false">L9*(MIN(Assumptions!$D$76*IF(Assumptions!L$191=2027,1+Assumptions!$F$175,1)/12,Assumptions!L$202)*Assumptions!L$204+(Assumptions!L$206*MAX(0,MIN(Assumptions!$D$76*IF(Assumptions!L$191=2027,1+Assumptions!$F$175,1)/12,1.1*Assumptions!L$202)-Assumptions!L$202)+Assumptions!L$208*MAX(0,MIN(Assumptions!$D$76*IF(Assumptions!L$191=2027,1+Assumptions!$F$175,1)/12,1.5*Assumptions!L$202)-1.1*Assumptions!L$202)+Assumptions!L$210*MAX(0,Assumptions!$D$76*IF(Assumptions!L$191=2027,1+Assumptions!$F$175,1)/12-1.5*Assumptions!L$202)))</f>
        <v>1009.540368</v>
      </c>
      <c r="M73" s="65" t="n">
        <f aca="false">M9*(MIN(Assumptions!$D$76*IF(Assumptions!M$191=2027,1+Assumptions!$F$175,1)/12,Assumptions!M$202)*Assumptions!M$204+(Assumptions!M$206*MAX(0,MIN(Assumptions!$D$76*IF(Assumptions!M$191=2027,1+Assumptions!$F$175,1)/12,1.1*Assumptions!M$202)-Assumptions!M$202)+Assumptions!M$208*MAX(0,MIN(Assumptions!$D$76*IF(Assumptions!M$191=2027,1+Assumptions!$F$175,1)/12,1.5*Assumptions!M$202)-1.1*Assumptions!M$202)+Assumptions!M$210*MAX(0,Assumptions!$D$76*IF(Assumptions!M$191=2027,1+Assumptions!$F$175,1)/12-1.5*Assumptions!M$202)))</f>
        <v>999.44496432</v>
      </c>
      <c r="N73" s="65" t="n">
        <f aca="false">N9*(MIN(Assumptions!$D$76*IF(Assumptions!N$191=2027,1+Assumptions!$F$175,1)/12,Assumptions!N$202)*Assumptions!N$204+(Assumptions!N$206*MAX(0,MIN(Assumptions!$D$76*IF(Assumptions!N$191=2027,1+Assumptions!$F$175,1)/12,1.1*Assumptions!N$202)-Assumptions!N$202)+Assumptions!N$208*MAX(0,MIN(Assumptions!$D$76*IF(Assumptions!N$191=2027,1+Assumptions!$F$175,1)/12,1.5*Assumptions!N$202)-1.1*Assumptions!N$202)+Assumptions!N$210*MAX(0,Assumptions!$D$76*IF(Assumptions!N$191=2027,1+Assumptions!$F$175,1)/12-1.5*Assumptions!N$202)))</f>
        <v>989.4505146768</v>
      </c>
      <c r="O73" s="65" t="n">
        <f aca="false">O9*(MIN(Assumptions!$D$76*IF(Assumptions!O$191=2027,1+Assumptions!$F$175,1)/12,Assumptions!O$202)*Assumptions!O$204+(Assumptions!O$206*MAX(0,MIN(Assumptions!$D$76*IF(Assumptions!O$191=2027,1+Assumptions!$F$175,1)/12,1.1*Assumptions!O$202)-Assumptions!O$202)+Assumptions!O$208*MAX(0,MIN(Assumptions!$D$76*IF(Assumptions!O$191=2027,1+Assumptions!$F$175,1)/12,1.5*Assumptions!O$202)-1.1*Assumptions!O$202)+Assumptions!O$210*MAX(0,Assumptions!$D$76*IF(Assumptions!O$191=2027,1+Assumptions!$F$175,1)/12-1.5*Assumptions!O$202)))</f>
        <v>989.651413210032</v>
      </c>
      <c r="P73" s="65" t="n">
        <f aca="false">P9*(MIN(Assumptions!$D$76*IF(Assumptions!P$191=2027,1+Assumptions!$F$175,1)/12,Assumptions!P$202)*Assumptions!P$204+(Assumptions!P$206*MAX(0,MIN(Assumptions!$D$76*IF(Assumptions!P$191=2027,1+Assumptions!$F$175,1)/12,1.1*Assumptions!P$202)-Assumptions!P$202)+Assumptions!P$208*MAX(0,MIN(Assumptions!$D$76*IF(Assumptions!P$191=2027,1+Assumptions!$F$175,1)/12,1.5*Assumptions!P$202)-1.1*Assumptions!P$202)+Assumptions!P$210*MAX(0,Assumptions!$D$76*IF(Assumptions!P$191=2027,1+Assumptions!$F$175,1)/12-1.5*Assumptions!P$202)))</f>
        <v>989.749348721132</v>
      </c>
      <c r="Q73" s="65" t="n">
        <f aca="false">Q9*(MIN(Assumptions!$D$76*IF(Assumptions!Q$191=2027,1+Assumptions!$F$175,1)/12,Assumptions!Q$202)*Assumptions!Q$204+(Assumptions!Q$206*MAX(0,MIN(Assumptions!$D$76*IF(Assumptions!Q$191=2027,1+Assumptions!$F$175,1)/12,1.1*Assumptions!Q$202)-Assumptions!Q$202)+Assumptions!Q$208*MAX(0,MIN(Assumptions!$D$76*IF(Assumptions!Q$191=2027,1+Assumptions!$F$175,1)/12,1.5*Assumptions!Q$202)-1.1*Assumptions!Q$202)+Assumptions!Q$210*MAX(0,Assumptions!$D$76*IF(Assumptions!Q$191=2027,1+Assumptions!$F$175,1)/12-1.5*Assumptions!Q$202)))</f>
        <v>1032.30520502977</v>
      </c>
      <c r="R73" s="65" t="n">
        <f aca="false">R9*(MIN(Assumptions!$D$76*IF(Assumptions!R$191=2027,1+Assumptions!$F$175,1)/12,Assumptions!R$202)*Assumptions!R$204+(Assumptions!R$206*MAX(0,MIN(Assumptions!$D$76*IF(Assumptions!R$191=2027,1+Assumptions!$F$175,1)/12,1.1*Assumptions!R$202)-Assumptions!R$202)+Assumptions!R$208*MAX(0,MIN(Assumptions!$D$76*IF(Assumptions!R$191=2027,1+Assumptions!$F$175,1)/12,1.5*Assumptions!R$202)-1.1*Assumptions!R$202)+Assumptions!R$210*MAX(0,Assumptions!$D$76*IF(Assumptions!R$191=2027,1+Assumptions!$F$175,1)/12-1.5*Assumptions!R$202)))</f>
        <v>1032.30421473102</v>
      </c>
      <c r="S73" s="65" t="n">
        <f aca="false">S9*(MIN(Assumptions!$D$76*IF(Assumptions!S$191=2027,1+Assumptions!$F$175,1)/12,Assumptions!S$202)*Assumptions!S$204+(Assumptions!S$206*MAX(0,MIN(Assumptions!$D$76*IF(Assumptions!S$191=2027,1+Assumptions!$F$175,1)/12,1.1*Assumptions!S$202)-Assumptions!S$202)+Assumptions!S$208*MAX(0,MIN(Assumptions!$D$76*IF(Assumptions!S$191=2027,1+Assumptions!$F$175,1)/12,1.5*Assumptions!S$202)-1.1*Assumptions!S$202)+Assumptions!S$210*MAX(0,Assumptions!$D$76*IF(Assumptions!S$191=2027,1+Assumptions!$F$175,1)/12-1.5*Assumptions!S$202)))</f>
        <v>1032.30425580239</v>
      </c>
      <c r="T73" s="65" t="n">
        <f aca="false">T9*(MIN(Assumptions!$D$76*IF(Assumptions!T$191=2027,1+Assumptions!$F$175,1)/12,Assumptions!T$202)*Assumptions!T$204+(Assumptions!T$206*MAX(0,MIN(Assumptions!$D$76*IF(Assumptions!T$191=2027,1+Assumptions!$F$175,1)/12,1.1*Assumptions!T$202)-Assumptions!T$202)+Assumptions!T$208*MAX(0,MIN(Assumptions!$D$76*IF(Assumptions!T$191=2027,1+Assumptions!$F$175,1)/12,1.5*Assumptions!T$202)-1.1*Assumptions!T$202)+Assumptions!T$210*MAX(0,Assumptions!$D$76*IF(Assumptions!T$191=2027,1+Assumptions!$F$175,1)/12-1.5*Assumptions!T$202)))</f>
        <v>1032.30426529467</v>
      </c>
      <c r="U73" s="65" t="n">
        <f aca="false">U9*(MIN(Assumptions!$D$76*IF(Assumptions!U$191=2027,1+Assumptions!$F$175,1)/12,Assumptions!U$202)*Assumptions!U$204+(Assumptions!U$206*MAX(0,MIN(Assumptions!$D$76*IF(Assumptions!U$191=2027,1+Assumptions!$F$175,1)/12,1.1*Assumptions!U$202)-Assumptions!U$202)+Assumptions!U$208*MAX(0,MIN(Assumptions!$D$76*IF(Assumptions!U$191=2027,1+Assumptions!$F$175,1)/12,1.5*Assumptions!U$202)-1.1*Assumptions!U$202)+Assumptions!U$210*MAX(0,Assumptions!$D$76*IF(Assumptions!U$191=2027,1+Assumptions!$F$175,1)/12-1.5*Assumptions!U$202)))</f>
        <v>1032.30426478903</v>
      </c>
      <c r="V73" s="65" t="n">
        <f aca="false">V9*(MIN(Assumptions!$D$76*IF(Assumptions!V$191=2027,1+Assumptions!$F$175,1)/12,Assumptions!V$202)*Assumptions!V$204+(Assumptions!V$206*MAX(0,MIN(Assumptions!$D$76*IF(Assumptions!V$191=2027,1+Assumptions!$F$175,1)/12,1.1*Assumptions!V$202)-Assumptions!V$202)+Assumptions!V$208*MAX(0,MIN(Assumptions!$D$76*IF(Assumptions!V$191=2027,1+Assumptions!$F$175,1)/12,1.5*Assumptions!V$202)-1.1*Assumptions!V$202)+Assumptions!V$210*MAX(0,Assumptions!$D$76*IF(Assumptions!V$191=2027,1+Assumptions!$F$175,1)/12-1.5*Assumptions!V$202)))</f>
        <v>1032.30426469916</v>
      </c>
      <c r="W73" s="65" t="n">
        <f aca="false">W9*(MIN(Assumptions!$D$76*IF(Assumptions!W$191=2027,1+Assumptions!$F$175,1)/12,Assumptions!W$202)*Assumptions!W$204+(Assumptions!W$206*MAX(0,MIN(Assumptions!$D$76*IF(Assumptions!W$191=2027,1+Assumptions!$F$175,1)/12,1.1*Assumptions!W$202)-Assumptions!W$202)+Assumptions!W$208*MAX(0,MIN(Assumptions!$D$76*IF(Assumptions!W$191=2027,1+Assumptions!$F$175,1)/12,1.5*Assumptions!W$202)-1.1*Assumptions!W$202)+Assumptions!W$210*MAX(0,Assumptions!$D$76*IF(Assumptions!W$191=2027,1+Assumptions!$F$175,1)/12-1.5*Assumptions!W$202)))</f>
        <v>1032.30426470512</v>
      </c>
      <c r="X73" s="65" t="n">
        <f aca="false">X9*(MIN(Assumptions!$D$76*IF(Assumptions!X$191=2027,1+Assumptions!$F$175,1)/12,Assumptions!X$202)*Assumptions!X$204+(Assumptions!X$206*MAX(0,MIN(Assumptions!$D$76*IF(Assumptions!X$191=2027,1+Assumptions!$F$175,1)/12,1.1*Assumptions!X$202)-Assumptions!X$202)+Assumptions!X$208*MAX(0,MIN(Assumptions!$D$76*IF(Assumptions!X$191=2027,1+Assumptions!$F$175,1)/12,1.5*Assumptions!X$202)-1.1*Assumptions!X$202)+Assumptions!X$210*MAX(0,Assumptions!$D$76*IF(Assumptions!X$191=2027,1+Assumptions!$F$175,1)/12-1.5*Assumptions!X$202)))</f>
        <v>1032.30426470596</v>
      </c>
      <c r="Y73" s="65" t="n">
        <f aca="false">Y9*(MIN(Assumptions!$D$76*IF(Assumptions!Y$191=2027,1+Assumptions!$F$175,1)/12,Assumptions!Y$202)*Assumptions!Y$204+(Assumptions!Y$206*MAX(0,MIN(Assumptions!$D$76*IF(Assumptions!Y$191=2027,1+Assumptions!$F$175,1)/12,1.1*Assumptions!Y$202)-Assumptions!Y$202)+Assumptions!Y$208*MAX(0,MIN(Assumptions!$D$76*IF(Assumptions!Y$191=2027,1+Assumptions!$F$175,1)/12,1.5*Assumptions!Y$202)-1.1*Assumptions!Y$202)+Assumptions!Y$210*MAX(0,Assumptions!$D$76*IF(Assumptions!Y$191=2027,1+Assumptions!$F$175,1)/12-1.5*Assumptions!Y$202)))</f>
        <v>1032.30426470589</v>
      </c>
      <c r="Z73" s="65" t="n">
        <f aca="false">Z9*(MIN(Assumptions!$D$76*IF(Assumptions!Z$191=2027,1+Assumptions!$F$175,1)/12,Assumptions!Z$202)*Assumptions!Z$204+(Assumptions!Z$206*MAX(0,MIN(Assumptions!$D$76*IF(Assumptions!Z$191=2027,1+Assumptions!$F$175,1)/12,1.1*Assumptions!Z$202)-Assumptions!Z$202)+Assumptions!Z$208*MAX(0,MIN(Assumptions!$D$76*IF(Assumptions!Z$191=2027,1+Assumptions!$F$175,1)/12,1.5*Assumptions!Z$202)-1.1*Assumptions!Z$202)+Assumptions!Z$210*MAX(0,Assumptions!$D$76*IF(Assumptions!Z$191=2027,1+Assumptions!$F$175,1)/12-1.5*Assumptions!Z$202)))</f>
        <v>1032.30426470588</v>
      </c>
      <c r="AA73" s="65" t="n">
        <f aca="false">AA9*(MIN(Assumptions!$D$76*IF(Assumptions!AA$191=2027,1+Assumptions!$F$175,1)/12,Assumptions!AA$202)*Assumptions!AA$204+(Assumptions!AA$206*MAX(0,MIN(Assumptions!$D$76*IF(Assumptions!AA$191=2027,1+Assumptions!$F$175,1)/12,1.1*Assumptions!AA$202)-Assumptions!AA$202)+Assumptions!AA$208*MAX(0,MIN(Assumptions!$D$76*IF(Assumptions!AA$191=2027,1+Assumptions!$F$175,1)/12,1.5*Assumptions!AA$202)-1.1*Assumptions!AA$202)+Assumptions!AA$210*MAX(0,Assumptions!$D$76*IF(Assumptions!AA$191=2027,1+Assumptions!$F$175,1)/12-1.5*Assumptions!AA$202)))</f>
        <v>1032.30426470588</v>
      </c>
      <c r="AB73" s="65" t="n">
        <f aca="false">AB9*(MIN(Assumptions!$D$76*IF(Assumptions!AB$191=2027,1+Assumptions!$F$175,1)/12,Assumptions!AB$202)*Assumptions!AB$204+(Assumptions!AB$206*MAX(0,MIN(Assumptions!$D$76*IF(Assumptions!AB$191=2027,1+Assumptions!$F$175,1)/12,1.1*Assumptions!AB$202)-Assumptions!AB$202)+Assumptions!AB$208*MAX(0,MIN(Assumptions!$D$76*IF(Assumptions!AB$191=2027,1+Assumptions!$F$175,1)/12,1.5*Assumptions!AB$202)-1.1*Assumptions!AB$202)+Assumptions!AB$210*MAX(0,Assumptions!$D$76*IF(Assumptions!AB$191=2027,1+Assumptions!$F$175,1)/12-1.5*Assumptions!AB$202)))</f>
        <v>1032.30426470588</v>
      </c>
    </row>
    <row r="74" customFormat="false" ht="15" hidden="false" customHeight="false" outlineLevel="0" collapsed="false">
      <c r="A74" s="28" t="s">
        <v>1123</v>
      </c>
      <c r="B74" s="63"/>
      <c r="C74" s="64" t="n">
        <f aca="false">SUM(E74:P74)</f>
        <v>36854.2476564167</v>
      </c>
      <c r="D74" s="64" t="n">
        <f aca="false">SUM(Q74:AB74)</f>
        <v>46065.3537704956</v>
      </c>
      <c r="E74" s="65" t="n">
        <f aca="false">E10*(MIN(Assumptions!$D$77*IF(Assumptions!E$191=2027,1+Assumptions!$F$175,1)/12,Assumptions!E$202)*Assumptions!E$204+(Assumptions!E$206*MAX(0,MIN(Assumptions!$D$77*IF(Assumptions!E$191=2027,1+Assumptions!$F$175,1)/12,1.1*Assumptions!E$202)-Assumptions!E$202)+Assumptions!E$208*MAX(0,MIN(Assumptions!$D$77*IF(Assumptions!E$191=2027,1+Assumptions!$F$175,1)/12,1.5*Assumptions!E$202)-1.1*Assumptions!E$202)+Assumptions!E$210*MAX(0,Assumptions!$D$77*IF(Assumptions!E$191=2027,1+Assumptions!$F$175,1)/12-1.5*Assumptions!E$202)))</f>
        <v>2827.5</v>
      </c>
      <c r="F74" s="65" t="n">
        <f aca="false">F10*(MIN(Assumptions!$D$77*IF(Assumptions!F$191=2027,1+Assumptions!$F$175,1)/12,Assumptions!F$202)*Assumptions!F$204+(Assumptions!F$206*MAX(0,MIN(Assumptions!$D$77*IF(Assumptions!F$191=2027,1+Assumptions!$F$175,1)/12,1.1*Assumptions!F$202)-Assumptions!F$202)+Assumptions!F$208*MAX(0,MIN(Assumptions!$D$77*IF(Assumptions!F$191=2027,1+Assumptions!$F$175,1)/12,1.5*Assumptions!F$202)-1.1*Assumptions!F$202)+Assumptions!F$210*MAX(0,Assumptions!$D$77*IF(Assumptions!F$191=2027,1+Assumptions!$F$175,1)/12-1.5*Assumptions!F$202)))</f>
        <v>2827.5</v>
      </c>
      <c r="G74" s="65" t="n">
        <f aca="false">G10*(MIN(Assumptions!$D$77*IF(Assumptions!G$191=2027,1+Assumptions!$F$175,1)/12,Assumptions!G$202)*Assumptions!G$204+(Assumptions!G$206*MAX(0,MIN(Assumptions!$D$77*IF(Assumptions!G$191=2027,1+Assumptions!$F$175,1)/12,1.1*Assumptions!G$202)-Assumptions!G$202)+Assumptions!G$208*MAX(0,MIN(Assumptions!$D$77*IF(Assumptions!G$191=2027,1+Assumptions!$F$175,1)/12,1.5*Assumptions!G$202)-1.1*Assumptions!G$202)+Assumptions!G$210*MAX(0,Assumptions!$D$77*IF(Assumptions!G$191=2027,1+Assumptions!$F$175,1)/12-1.5*Assumptions!G$202)))</f>
        <v>3141.66666666667</v>
      </c>
      <c r="H74" s="65" t="n">
        <f aca="false">H10*(MIN(Assumptions!$D$77*IF(Assumptions!H$191=2027,1+Assumptions!$F$175,1)/12,Assumptions!H$202)*Assumptions!H$204+(Assumptions!H$206*MAX(0,MIN(Assumptions!$D$77*IF(Assumptions!H$191=2027,1+Assumptions!$F$175,1)/12,1.1*Assumptions!H$202)-Assumptions!H$202)+Assumptions!H$208*MAX(0,MIN(Assumptions!$D$77*IF(Assumptions!H$191=2027,1+Assumptions!$F$175,1)/12,1.5*Assumptions!H$202)-1.1*Assumptions!H$202)+Assumptions!H$210*MAX(0,Assumptions!$D$77*IF(Assumptions!H$191=2027,1+Assumptions!$F$175,1)/12-1.5*Assumptions!H$202)))</f>
        <v>3141.66666666667</v>
      </c>
      <c r="I74" s="65" t="n">
        <f aca="false">I10*(MIN(Assumptions!$D$77*IF(Assumptions!I$191=2027,1+Assumptions!$F$175,1)/12,Assumptions!I$202)*Assumptions!I$204+(Assumptions!I$206*MAX(0,MIN(Assumptions!$D$77*IF(Assumptions!I$191=2027,1+Assumptions!$F$175,1)/12,1.1*Assumptions!I$202)-Assumptions!I$202)+Assumptions!I$208*MAX(0,MIN(Assumptions!$D$77*IF(Assumptions!I$191=2027,1+Assumptions!$F$175,1)/12,1.5*Assumptions!I$202)-1.1*Assumptions!I$202)+Assumptions!I$210*MAX(0,Assumptions!$D$77*IF(Assumptions!I$191=2027,1+Assumptions!$F$175,1)/12-1.5*Assumptions!I$202)))</f>
        <v>3141.66666666667</v>
      </c>
      <c r="J74" s="65" t="n">
        <f aca="false">J10*(MIN(Assumptions!$D$77*IF(Assumptions!J$191=2027,1+Assumptions!$F$175,1)/12,Assumptions!J$202)*Assumptions!J$204+(Assumptions!J$206*MAX(0,MIN(Assumptions!$D$77*IF(Assumptions!J$191=2027,1+Assumptions!$F$175,1)/12,1.1*Assumptions!J$202)-Assumptions!J$202)+Assumptions!J$208*MAX(0,MIN(Assumptions!$D$77*IF(Assumptions!J$191=2027,1+Assumptions!$F$175,1)/12,1.5*Assumptions!J$202)-1.1*Assumptions!J$202)+Assumptions!J$210*MAX(0,Assumptions!$D$77*IF(Assumptions!J$191=2027,1+Assumptions!$F$175,1)/12-1.5*Assumptions!J$202)))</f>
        <v>3141.66666666667</v>
      </c>
      <c r="K74" s="65" t="n">
        <f aca="false">K10*(MIN(Assumptions!$D$77*IF(Assumptions!K$191=2027,1+Assumptions!$F$175,1)/12,Assumptions!K$202)*Assumptions!K$204+(Assumptions!K$206*MAX(0,MIN(Assumptions!$D$77*IF(Assumptions!K$191=2027,1+Assumptions!$F$175,1)/12,1.1*Assumptions!K$202)-Assumptions!K$202)+Assumptions!K$208*MAX(0,MIN(Assumptions!$D$77*IF(Assumptions!K$191=2027,1+Assumptions!$F$175,1)/12,1.5*Assumptions!K$202)-1.1*Assumptions!K$202)+Assumptions!K$210*MAX(0,Assumptions!$D$77*IF(Assumptions!K$191=2027,1+Assumptions!$F$175,1)/12-1.5*Assumptions!K$202)))</f>
        <v>3141.66666666667</v>
      </c>
      <c r="L74" s="65" t="n">
        <f aca="false">L10*(MIN(Assumptions!$D$77*IF(Assumptions!L$191=2027,1+Assumptions!$F$175,1)/12,Assumptions!L$202)*Assumptions!L$204+(Assumptions!L$206*MAX(0,MIN(Assumptions!$D$77*IF(Assumptions!L$191=2027,1+Assumptions!$F$175,1)/12,1.1*Assumptions!L$202)-Assumptions!L$202)+Assumptions!L$208*MAX(0,MIN(Assumptions!$D$77*IF(Assumptions!L$191=2027,1+Assumptions!$F$175,1)/12,1.5*Assumptions!L$202)-1.1*Assumptions!L$202)+Assumptions!L$210*MAX(0,Assumptions!$D$77*IF(Assumptions!L$191=2027,1+Assumptions!$F$175,1)/12-1.5*Assumptions!L$202)))</f>
        <v>3141.66666666667</v>
      </c>
      <c r="M74" s="65" t="n">
        <f aca="false">M10*(MIN(Assumptions!$D$77*IF(Assumptions!M$191=2027,1+Assumptions!$F$175,1)/12,Assumptions!M$202)*Assumptions!M$204+(Assumptions!M$206*MAX(0,MIN(Assumptions!$D$77*IF(Assumptions!M$191=2027,1+Assumptions!$F$175,1)/12,1.1*Assumptions!M$202)-Assumptions!M$202)+Assumptions!M$208*MAX(0,MIN(Assumptions!$D$77*IF(Assumptions!M$191=2027,1+Assumptions!$F$175,1)/12,1.5*Assumptions!M$202)-1.1*Assumptions!M$202)+Assumptions!M$210*MAX(0,Assumptions!$D$77*IF(Assumptions!M$191=2027,1+Assumptions!$F$175,1)/12-1.5*Assumptions!M$202)))</f>
        <v>3110.25</v>
      </c>
      <c r="N74" s="65" t="n">
        <f aca="false">N10*(MIN(Assumptions!$D$77*IF(Assumptions!N$191=2027,1+Assumptions!$F$175,1)/12,Assumptions!N$202)*Assumptions!N$204+(Assumptions!N$206*MAX(0,MIN(Assumptions!$D$77*IF(Assumptions!N$191=2027,1+Assumptions!$F$175,1)/12,1.1*Assumptions!N$202)-Assumptions!N$202)+Assumptions!N$208*MAX(0,MIN(Assumptions!$D$77*IF(Assumptions!N$191=2027,1+Assumptions!$F$175,1)/12,1.5*Assumptions!N$202)-1.1*Assumptions!N$202)+Assumptions!N$210*MAX(0,Assumptions!$D$77*IF(Assumptions!N$191=2027,1+Assumptions!$F$175,1)/12-1.5*Assumptions!N$202)))</f>
        <v>3079.1475</v>
      </c>
      <c r="O74" s="65" t="n">
        <f aca="false">O10*(MIN(Assumptions!$D$77*IF(Assumptions!O$191=2027,1+Assumptions!$F$175,1)/12,Assumptions!O$202)*Assumptions!O$204+(Assumptions!O$206*MAX(0,MIN(Assumptions!$D$77*IF(Assumptions!O$191=2027,1+Assumptions!$F$175,1)/12,1.1*Assumptions!O$202)-Assumptions!O$202)+Assumptions!O$208*MAX(0,MIN(Assumptions!$D$77*IF(Assumptions!O$191=2027,1+Assumptions!$F$175,1)/12,1.5*Assumptions!O$202)-1.1*Assumptions!O$202)+Assumptions!O$210*MAX(0,Assumptions!$D$77*IF(Assumptions!O$191=2027,1+Assumptions!$F$175,1)/12-1.5*Assumptions!O$202)))</f>
        <v>3079.77269166667</v>
      </c>
      <c r="P74" s="65" t="n">
        <f aca="false">P10*(MIN(Assumptions!$D$77*IF(Assumptions!P$191=2027,1+Assumptions!$F$175,1)/12,Assumptions!P$202)*Assumptions!P$204+(Assumptions!P$206*MAX(0,MIN(Assumptions!$D$77*IF(Assumptions!P$191=2027,1+Assumptions!$F$175,1)/12,1.1*Assumptions!P$202)-Assumptions!P$202)+Assumptions!P$208*MAX(0,MIN(Assumptions!$D$77*IF(Assumptions!P$191=2027,1+Assumptions!$F$175,1)/12,1.5*Assumptions!P$202)-1.1*Assumptions!P$202)+Assumptions!P$210*MAX(0,Assumptions!$D$77*IF(Assumptions!P$191=2027,1+Assumptions!$F$175,1)/12-1.5*Assumptions!P$202)))</f>
        <v>3080.07746475</v>
      </c>
      <c r="Q74" s="65" t="n">
        <f aca="false">Q10*(MIN(Assumptions!$D$77*IF(Assumptions!Q$191=2027,1+Assumptions!$F$175,1)/12,Assumptions!Q$202)*Assumptions!Q$204+(Assumptions!Q$206*MAX(0,MIN(Assumptions!$D$77*IF(Assumptions!Q$191=2027,1+Assumptions!$F$175,1)/12,1.1*Assumptions!Q$202)-Assumptions!Q$202)+Assumptions!Q$208*MAX(0,MIN(Assumptions!$D$77*IF(Assumptions!Q$191=2027,1+Assumptions!$F$175,1)/12,1.5*Assumptions!Q$202)-1.1*Assumptions!Q$202)+Assumptions!Q$210*MAX(0,Assumptions!$D$77*IF(Assumptions!Q$191=2027,1+Assumptions!$F$175,1)/12-1.5*Assumptions!Q$202)))</f>
        <v>3850.00538334534</v>
      </c>
      <c r="R74" s="65" t="n">
        <f aca="false">R10*(MIN(Assumptions!$D$77*IF(Assumptions!R$191=2027,1+Assumptions!$F$175,1)/12,Assumptions!R$202)*Assumptions!R$204+(Assumptions!R$206*MAX(0,MIN(Assumptions!$D$77*IF(Assumptions!R$191=2027,1+Assumptions!$F$175,1)/12,1.1*Assumptions!R$202)-Assumptions!R$202)+Assumptions!R$208*MAX(0,MIN(Assumptions!$D$77*IF(Assumptions!R$191=2027,1+Assumptions!$F$175,1)/12,1.5*Assumptions!R$202)-1.1*Assumptions!R$202)+Assumptions!R$210*MAX(0,Assumptions!$D$77*IF(Assumptions!R$191=2027,1+Assumptions!$F$175,1)/12-1.5*Assumptions!R$202)))</f>
        <v>3843.47905578558</v>
      </c>
      <c r="S74" s="65" t="n">
        <f aca="false">S10*(MIN(Assumptions!$D$77*IF(Assumptions!S$191=2027,1+Assumptions!$F$175,1)/12,Assumptions!S$202)*Assumptions!S$204+(Assumptions!S$206*MAX(0,MIN(Assumptions!$D$77*IF(Assumptions!S$191=2027,1+Assumptions!$F$175,1)/12,1.1*Assumptions!S$202)-Assumptions!S$202)+Assumptions!S$208*MAX(0,MIN(Assumptions!$D$77*IF(Assumptions!S$191=2027,1+Assumptions!$F$175,1)/12,1.5*Assumptions!S$202)-1.1*Assumptions!S$202)+Assumptions!S$210*MAX(0,Assumptions!$D$77*IF(Assumptions!S$191=2027,1+Assumptions!$F$175,1)/12-1.5*Assumptions!S$202)))</f>
        <v>3837.02115560869</v>
      </c>
      <c r="T74" s="65" t="n">
        <f aca="false">T10*(MIN(Assumptions!$D$77*IF(Assumptions!T$191=2027,1+Assumptions!$F$175,1)/12,Assumptions!T$202)*Assumptions!T$204+(Assumptions!T$206*MAX(0,MIN(Assumptions!$D$77*IF(Assumptions!T$191=2027,1+Assumptions!$F$175,1)/12,1.1*Assumptions!T$202)-Assumptions!T$202)+Assumptions!T$208*MAX(0,MIN(Assumptions!$D$77*IF(Assumptions!T$191=2027,1+Assumptions!$F$175,1)/12,1.5*Assumptions!T$202)-1.1*Assumptions!T$202)+Assumptions!T$210*MAX(0,Assumptions!$D$77*IF(Assumptions!T$191=2027,1+Assumptions!$F$175,1)/12-1.5*Assumptions!T$202)))</f>
        <v>3837.15099788606</v>
      </c>
      <c r="U74" s="65" t="n">
        <f aca="false">U10*(MIN(Assumptions!$D$77*IF(Assumptions!U$191=2027,1+Assumptions!$F$175,1)/12,Assumptions!U$202)*Assumptions!U$204+(Assumptions!U$206*MAX(0,MIN(Assumptions!$D$77*IF(Assumptions!U$191=2027,1+Assumptions!$F$175,1)/12,1.1*Assumptions!U$202)-Assumptions!U$202)+Assumptions!U$208*MAX(0,MIN(Assumptions!$D$77*IF(Assumptions!U$191=2027,1+Assumptions!$F$175,1)/12,1.5*Assumptions!U$202)-1.1*Assumptions!U$202)+Assumptions!U$210*MAX(0,Assumptions!$D$77*IF(Assumptions!U$191=2027,1+Assumptions!$F$175,1)/12-1.5*Assumptions!U$202)))</f>
        <v>3837.21427846505</v>
      </c>
      <c r="V74" s="65" t="n">
        <f aca="false">V10*(MIN(Assumptions!$D$77*IF(Assumptions!V$191=2027,1+Assumptions!$F$175,1)/12,Assumptions!V$202)*Assumptions!V$204+(Assumptions!V$206*MAX(0,MIN(Assumptions!$D$77*IF(Assumptions!V$191=2027,1+Assumptions!$F$175,1)/12,1.1*Assumptions!V$202)-Assumptions!V$202)+Assumptions!V$208*MAX(0,MIN(Assumptions!$D$77*IF(Assumptions!V$191=2027,1+Assumptions!$F$175,1)/12,1.5*Assumptions!V$202)-1.1*Assumptions!V$202)+Assumptions!V$210*MAX(0,Assumptions!$D$77*IF(Assumptions!V$191=2027,1+Assumptions!$F$175,1)/12-1.5*Assumptions!V$202)))</f>
        <v>3837.21234723649</v>
      </c>
      <c r="W74" s="65" t="n">
        <f aca="false">W10*(MIN(Assumptions!$D$77*IF(Assumptions!W$191=2027,1+Assumptions!$F$175,1)/12,Assumptions!W$202)*Assumptions!W$204+(Assumptions!W$206*MAX(0,MIN(Assumptions!$D$77*IF(Assumptions!W$191=2027,1+Assumptions!$F$175,1)/12,1.1*Assumptions!W$202)-Assumptions!W$202)+Assumptions!W$208*MAX(0,MIN(Assumptions!$D$77*IF(Assumptions!W$191=2027,1+Assumptions!$F$175,1)/12,1.5*Assumptions!W$202)-1.1*Assumptions!W$202)+Assumptions!W$210*MAX(0,Assumptions!$D$77*IF(Assumptions!W$191=2027,1+Assumptions!$F$175,1)/12-1.5*Assumptions!W$202)))</f>
        <v>3837.21173374298</v>
      </c>
      <c r="X74" s="65" t="n">
        <f aca="false">X10*(MIN(Assumptions!$D$77*IF(Assumptions!X$191=2027,1+Assumptions!$F$175,1)/12,Assumptions!X$202)*Assumptions!X$204+(Assumptions!X$206*MAX(0,MIN(Assumptions!$D$77*IF(Assumptions!X$191=2027,1+Assumptions!$F$175,1)/12,1.1*Assumptions!X$202)-Assumptions!X$202)+Assumptions!X$208*MAX(0,MIN(Assumptions!$D$77*IF(Assumptions!X$191=2027,1+Assumptions!$F$175,1)/12,1.5*Assumptions!X$202)-1.1*Assumptions!X$202)+Assumptions!X$210*MAX(0,Assumptions!$D$77*IF(Assumptions!X$191=2027,1+Assumptions!$F$175,1)/12-1.5*Assumptions!X$202)))</f>
        <v>3837.2117591902</v>
      </c>
      <c r="Y74" s="65" t="n">
        <f aca="false">Y10*(MIN(Assumptions!$D$77*IF(Assumptions!Y$191=2027,1+Assumptions!$F$175,1)/12,Assumptions!Y$202)*Assumptions!Y$204+(Assumptions!Y$206*MAX(0,MIN(Assumptions!$D$77*IF(Assumptions!Y$191=2027,1+Assumptions!$F$175,1)/12,1.1*Assumptions!Y$202)-Assumptions!Y$202)+Assumptions!Y$208*MAX(0,MIN(Assumptions!$D$77*IF(Assumptions!Y$191=2027,1+Assumptions!$F$175,1)/12,1.5*Assumptions!Y$202)-1.1*Assumptions!Y$202)+Assumptions!Y$210*MAX(0,Assumptions!$D$77*IF(Assumptions!Y$191=2027,1+Assumptions!$F$175,1)/12-1.5*Assumptions!Y$202)))</f>
        <v>3837.21176507067</v>
      </c>
      <c r="Z74" s="65" t="n">
        <f aca="false">Z10*(MIN(Assumptions!$D$77*IF(Assumptions!Z$191=2027,1+Assumptions!$F$175,1)/12,Assumptions!Z$202)*Assumptions!Z$204+(Assumptions!Z$206*MAX(0,MIN(Assumptions!$D$77*IF(Assumptions!Z$191=2027,1+Assumptions!$F$175,1)/12,1.1*Assumptions!Z$202)-Assumptions!Z$202)+Assumptions!Z$208*MAX(0,MIN(Assumptions!$D$77*IF(Assumptions!Z$191=2027,1+Assumptions!$F$175,1)/12,1.5*Assumptions!Z$202)-1.1*Assumptions!Z$202)+Assumptions!Z$210*MAX(0,Assumptions!$D$77*IF(Assumptions!Z$191=2027,1+Assumptions!$F$175,1)/12-1.5*Assumptions!Z$202)))</f>
        <v>3837.21176475739</v>
      </c>
      <c r="AA74" s="65" t="n">
        <f aca="false">AA10*(MIN(Assumptions!$D$77*IF(Assumptions!AA$191=2027,1+Assumptions!$F$175,1)/12,Assumptions!AA$202)*Assumptions!AA$204+(Assumptions!AA$206*MAX(0,MIN(Assumptions!$D$77*IF(Assumptions!AA$191=2027,1+Assumptions!$F$175,1)/12,1.1*Assumptions!AA$202)-Assumptions!AA$202)+Assumptions!AA$208*MAX(0,MIN(Assumptions!$D$77*IF(Assumptions!AA$191=2027,1+Assumptions!$F$175,1)/12,1.5*Assumptions!AA$202)-1.1*Assumptions!AA$202)+Assumptions!AA$210*MAX(0,Assumptions!$D$77*IF(Assumptions!AA$191=2027,1+Assumptions!$F$175,1)/12-1.5*Assumptions!AA$202)))</f>
        <v>3837.21176470172</v>
      </c>
      <c r="AB74" s="65" t="n">
        <f aca="false">AB10*(MIN(Assumptions!$D$77*IF(Assumptions!AB$191=2027,1+Assumptions!$F$175,1)/12,Assumptions!AB$202)*Assumptions!AB$204+(Assumptions!AB$206*MAX(0,MIN(Assumptions!$D$77*IF(Assumptions!AB$191=2027,1+Assumptions!$F$175,1)/12,1.1*Assumptions!AB$202)-Assumptions!AB$202)+Assumptions!AB$208*MAX(0,MIN(Assumptions!$D$77*IF(Assumptions!AB$191=2027,1+Assumptions!$F$175,1)/12,1.5*Assumptions!AB$202)-1.1*Assumptions!AB$202)+Assumptions!AB$210*MAX(0,Assumptions!$D$77*IF(Assumptions!AB$191=2027,1+Assumptions!$F$175,1)/12-1.5*Assumptions!AB$202)))</f>
        <v>3837.21176470541</v>
      </c>
    </row>
    <row r="75" customFormat="false" ht="15" hidden="false" customHeight="false" outlineLevel="0" collapsed="false">
      <c r="A75" s="28" t="s">
        <v>1124</v>
      </c>
      <c r="B75" s="63"/>
      <c r="C75" s="64" t="n">
        <f aca="false">SUM(E75:P75)</f>
        <v>38145.42496765</v>
      </c>
      <c r="D75" s="64" t="n">
        <f aca="false">SUM(Q75:AB75)</f>
        <v>45862.3381114674</v>
      </c>
      <c r="E75" s="65" t="n">
        <f aca="false">E11*(MIN(Assumptions!$D$78*IF(Assumptions!E$191=2027,1+Assumptions!$F$175,1)/12,Assumptions!E$202)*Assumptions!E$204+(Assumptions!E$206*MAX(0,MIN(Assumptions!$D$78*IF(Assumptions!E$191=2027,1+Assumptions!$F$175,1)/12,1.1*Assumptions!E$202)-Assumptions!E$202)+Assumptions!E$208*MAX(0,MIN(Assumptions!$D$78*IF(Assumptions!E$191=2027,1+Assumptions!$F$175,1)/12,1.5*Assumptions!E$202)-1.1*Assumptions!E$202)+Assumptions!E$210*MAX(0,Assumptions!$D$78*IF(Assumptions!E$191=2027,1+Assumptions!$F$175,1)/12-1.5*Assumptions!E$202)))</f>
        <v>2860</v>
      </c>
      <c r="F75" s="65" t="n">
        <f aca="false">F11*(MIN(Assumptions!$D$78*IF(Assumptions!F$191=2027,1+Assumptions!$F$175,1)/12,Assumptions!F$202)*Assumptions!F$204+(Assumptions!F$206*MAX(0,MIN(Assumptions!$D$78*IF(Assumptions!F$191=2027,1+Assumptions!$F$175,1)/12,1.1*Assumptions!F$202)-Assumptions!F$202)+Assumptions!F$208*MAX(0,MIN(Assumptions!$D$78*IF(Assumptions!F$191=2027,1+Assumptions!$F$175,1)/12,1.5*Assumptions!F$202)-1.1*Assumptions!F$202)+Assumptions!F$210*MAX(0,Assumptions!$D$78*IF(Assumptions!F$191=2027,1+Assumptions!$F$175,1)/12-1.5*Assumptions!F$202)))</f>
        <v>3098.33333333333</v>
      </c>
      <c r="G75" s="65" t="n">
        <f aca="false">G11*(MIN(Assumptions!$D$78*IF(Assumptions!G$191=2027,1+Assumptions!$F$175,1)/12,Assumptions!G$202)*Assumptions!G$204+(Assumptions!G$206*MAX(0,MIN(Assumptions!$D$78*IF(Assumptions!G$191=2027,1+Assumptions!$F$175,1)/12,1.1*Assumptions!G$202)-Assumptions!G$202)+Assumptions!G$208*MAX(0,MIN(Assumptions!$D$78*IF(Assumptions!G$191=2027,1+Assumptions!$F$175,1)/12,1.5*Assumptions!G$202)-1.1*Assumptions!G$202)+Assumptions!G$210*MAX(0,Assumptions!$D$78*IF(Assumptions!G$191=2027,1+Assumptions!$F$175,1)/12-1.5*Assumptions!G$202)))</f>
        <v>3098.33333333333</v>
      </c>
      <c r="H75" s="65" t="n">
        <f aca="false">H11*(MIN(Assumptions!$D$78*IF(Assumptions!H$191=2027,1+Assumptions!$F$175,1)/12,Assumptions!H$202)*Assumptions!H$204+(Assumptions!H$206*MAX(0,MIN(Assumptions!$D$78*IF(Assumptions!H$191=2027,1+Assumptions!$F$175,1)/12,1.1*Assumptions!H$202)-Assumptions!H$202)+Assumptions!H$208*MAX(0,MIN(Assumptions!$D$78*IF(Assumptions!H$191=2027,1+Assumptions!$F$175,1)/12,1.5*Assumptions!H$202)-1.1*Assumptions!H$202)+Assumptions!H$210*MAX(0,Assumptions!$D$78*IF(Assumptions!H$191=2027,1+Assumptions!$F$175,1)/12-1.5*Assumptions!H$202)))</f>
        <v>3098.33333333333</v>
      </c>
      <c r="I75" s="65" t="n">
        <f aca="false">I11*(MIN(Assumptions!$D$78*IF(Assumptions!I$191=2027,1+Assumptions!$F$175,1)/12,Assumptions!I$202)*Assumptions!I$204+(Assumptions!I$206*MAX(0,MIN(Assumptions!$D$78*IF(Assumptions!I$191=2027,1+Assumptions!$F$175,1)/12,1.1*Assumptions!I$202)-Assumptions!I$202)+Assumptions!I$208*MAX(0,MIN(Assumptions!$D$78*IF(Assumptions!I$191=2027,1+Assumptions!$F$175,1)/12,1.5*Assumptions!I$202)-1.1*Assumptions!I$202)+Assumptions!I$210*MAX(0,Assumptions!$D$78*IF(Assumptions!I$191=2027,1+Assumptions!$F$175,1)/12-1.5*Assumptions!I$202)))</f>
        <v>3336.66666666667</v>
      </c>
      <c r="J75" s="65" t="n">
        <f aca="false">J11*(MIN(Assumptions!$D$78*IF(Assumptions!J$191=2027,1+Assumptions!$F$175,1)/12,Assumptions!J$202)*Assumptions!J$204+(Assumptions!J$206*MAX(0,MIN(Assumptions!$D$78*IF(Assumptions!J$191=2027,1+Assumptions!$F$175,1)/12,1.1*Assumptions!J$202)-Assumptions!J$202)+Assumptions!J$208*MAX(0,MIN(Assumptions!$D$78*IF(Assumptions!J$191=2027,1+Assumptions!$F$175,1)/12,1.5*Assumptions!J$202)-1.1*Assumptions!J$202)+Assumptions!J$210*MAX(0,Assumptions!$D$78*IF(Assumptions!J$191=2027,1+Assumptions!$F$175,1)/12-1.5*Assumptions!J$202)))</f>
        <v>3336.66666666667</v>
      </c>
      <c r="K75" s="65" t="n">
        <f aca="false">K11*(MIN(Assumptions!$D$78*IF(Assumptions!K$191=2027,1+Assumptions!$F$175,1)/12,Assumptions!K$202)*Assumptions!K$204+(Assumptions!K$206*MAX(0,MIN(Assumptions!$D$78*IF(Assumptions!K$191=2027,1+Assumptions!$F$175,1)/12,1.1*Assumptions!K$202)-Assumptions!K$202)+Assumptions!K$208*MAX(0,MIN(Assumptions!$D$78*IF(Assumptions!K$191=2027,1+Assumptions!$F$175,1)/12,1.5*Assumptions!K$202)-1.1*Assumptions!K$202)+Assumptions!K$210*MAX(0,Assumptions!$D$78*IF(Assumptions!K$191=2027,1+Assumptions!$F$175,1)/12-1.5*Assumptions!K$202)))</f>
        <v>3098.33333333333</v>
      </c>
      <c r="L75" s="65" t="n">
        <f aca="false">L11*(MIN(Assumptions!$D$78*IF(Assumptions!L$191=2027,1+Assumptions!$F$175,1)/12,Assumptions!L$202)*Assumptions!L$204+(Assumptions!L$206*MAX(0,MIN(Assumptions!$D$78*IF(Assumptions!L$191=2027,1+Assumptions!$F$175,1)/12,1.1*Assumptions!L$202)-Assumptions!L$202)+Assumptions!L$208*MAX(0,MIN(Assumptions!$D$78*IF(Assumptions!L$191=2027,1+Assumptions!$F$175,1)/12,1.5*Assumptions!L$202)-1.1*Assumptions!L$202)+Assumptions!L$210*MAX(0,Assumptions!$D$78*IF(Assumptions!L$191=2027,1+Assumptions!$F$175,1)/12-1.5*Assumptions!L$202)))</f>
        <v>3098.33333333333</v>
      </c>
      <c r="M75" s="65" t="n">
        <f aca="false">M11*(MIN(Assumptions!$D$78*IF(Assumptions!M$191=2027,1+Assumptions!$F$175,1)/12,Assumptions!M$202)*Assumptions!M$204+(Assumptions!M$206*MAX(0,MIN(Assumptions!$D$78*IF(Assumptions!M$191=2027,1+Assumptions!$F$175,1)/12,1.1*Assumptions!M$202)-Assumptions!M$202)+Assumptions!M$208*MAX(0,MIN(Assumptions!$D$78*IF(Assumptions!M$191=2027,1+Assumptions!$F$175,1)/12,1.5*Assumptions!M$202)-1.1*Assumptions!M$202)+Assumptions!M$210*MAX(0,Assumptions!$D$78*IF(Assumptions!M$191=2027,1+Assumptions!$F$175,1)/12-1.5*Assumptions!M$202)))</f>
        <v>3305.68333333333</v>
      </c>
      <c r="N75" s="65" t="n">
        <f aca="false">N11*(MIN(Assumptions!$D$78*IF(Assumptions!N$191=2027,1+Assumptions!$F$175,1)/12,Assumptions!N$202)*Assumptions!N$204+(Assumptions!N$206*MAX(0,MIN(Assumptions!$D$78*IF(Assumptions!N$191=2027,1+Assumptions!$F$175,1)/12,1.1*Assumptions!N$202)-Assumptions!N$202)+Assumptions!N$208*MAX(0,MIN(Assumptions!$D$78*IF(Assumptions!N$191=2027,1+Assumptions!$F$175,1)/12,1.5*Assumptions!N$202)-1.1*Assumptions!N$202)+Assumptions!N$210*MAX(0,Assumptions!$D$78*IF(Assumptions!N$191=2027,1+Assumptions!$F$175,1)/12-1.5*Assumptions!N$202)))</f>
        <v>3272.6265</v>
      </c>
      <c r="O75" s="65" t="n">
        <f aca="false">O11*(MIN(Assumptions!$D$78*IF(Assumptions!O$191=2027,1+Assumptions!$F$175,1)/12,Assumptions!O$202)*Assumptions!O$204+(Assumptions!O$206*MAX(0,MIN(Assumptions!$D$78*IF(Assumptions!O$191=2027,1+Assumptions!$F$175,1)/12,1.1*Assumptions!O$202)-Assumptions!O$202)+Assumptions!O$208*MAX(0,MIN(Assumptions!$D$78*IF(Assumptions!O$191=2027,1+Assumptions!$F$175,1)/12,1.5*Assumptions!O$202)-1.1*Assumptions!O$202)+Assumptions!O$210*MAX(0,Assumptions!$D$78*IF(Assumptions!O$191=2027,1+Assumptions!$F$175,1)/12-1.5*Assumptions!O$202)))</f>
        <v>3270.88356833333</v>
      </c>
      <c r="P75" s="65" t="n">
        <f aca="false">P11*(MIN(Assumptions!$D$78*IF(Assumptions!P$191=2027,1+Assumptions!$F$175,1)/12,Assumptions!P$202)*Assumptions!P$204+(Assumptions!P$206*MAX(0,MIN(Assumptions!$D$78*IF(Assumptions!P$191=2027,1+Assumptions!$F$175,1)/12,1.1*Assumptions!P$202)-Assumptions!P$202)+Assumptions!P$208*MAX(0,MIN(Assumptions!$D$78*IF(Assumptions!P$191=2027,1+Assumptions!$F$175,1)/12,1.5*Assumptions!P$202)-1.1*Assumptions!P$202)+Assumptions!P$210*MAX(0,Assumptions!$D$78*IF(Assumptions!P$191=2027,1+Assumptions!$F$175,1)/12-1.5*Assumptions!P$202)))</f>
        <v>3271.23156598333</v>
      </c>
      <c r="Q75" s="65" t="n">
        <f aca="false">Q11*(MIN(Assumptions!$D$78*IF(Assumptions!Q$191=2027,1+Assumptions!$F$175,1)/12,Assumptions!Q$202)*Assumptions!Q$204+(Assumptions!Q$206*MAX(0,MIN(Assumptions!$D$78*IF(Assumptions!Q$191=2027,1+Assumptions!$F$175,1)/12,1.1*Assumptions!Q$202)-Assumptions!Q$202)+Assumptions!Q$208*MAX(0,MIN(Assumptions!$D$78*IF(Assumptions!Q$191=2027,1+Assumptions!$F$175,1)/12,1.5*Assumptions!Q$202)-1.1*Assumptions!Q$202)+Assumptions!Q$210*MAX(0,Assumptions!$D$78*IF(Assumptions!Q$191=2027,1+Assumptions!$F$175,1)/12-1.5*Assumptions!Q$202)))</f>
        <v>3643.59076715478</v>
      </c>
      <c r="R75" s="65" t="n">
        <f aca="false">R11*(MIN(Assumptions!$D$78*IF(Assumptions!R$191=2027,1+Assumptions!$F$175,1)/12,Assumptions!R$202)*Assumptions!R$204+(Assumptions!R$206*MAX(0,MIN(Assumptions!$D$78*IF(Assumptions!R$191=2027,1+Assumptions!$F$175,1)/12,1.1*Assumptions!R$202)-Assumptions!R$202)+Assumptions!R$208*MAX(0,MIN(Assumptions!$D$78*IF(Assumptions!R$191=2027,1+Assumptions!$F$175,1)/12,1.5*Assumptions!R$202)-1.1*Assumptions!R$202)+Assumptions!R$210*MAX(0,Assumptions!$D$78*IF(Assumptions!R$191=2027,1+Assumptions!$F$175,1)/12-1.5*Assumptions!R$202)))</f>
        <v>3641.11266947681</v>
      </c>
      <c r="S75" s="65" t="n">
        <f aca="false">S11*(MIN(Assumptions!$D$78*IF(Assumptions!S$191=2027,1+Assumptions!$F$175,1)/12,Assumptions!S$202)*Assumptions!S$204+(Assumptions!S$206*MAX(0,MIN(Assumptions!$D$78*IF(Assumptions!S$191=2027,1+Assumptions!$F$175,1)/12,1.1*Assumptions!S$202)-Assumptions!S$202)+Assumptions!S$208*MAX(0,MIN(Assumptions!$D$78*IF(Assumptions!S$191=2027,1+Assumptions!$F$175,1)/12,1.5*Assumptions!S$202)-1.1*Assumptions!S$202)+Assumptions!S$210*MAX(0,Assumptions!$D$78*IF(Assumptions!S$191=2027,1+Assumptions!$F$175,1)/12-1.5*Assumptions!S$202)))</f>
        <v>3638.66296563368</v>
      </c>
      <c r="T75" s="65" t="n">
        <f aca="false">T11*(MIN(Assumptions!$D$78*IF(Assumptions!T$191=2027,1+Assumptions!$F$175,1)/12,Assumptions!T$202)*Assumptions!T$204+(Assumptions!T$206*MAX(0,MIN(Assumptions!$D$78*IF(Assumptions!T$191=2027,1+Assumptions!$F$175,1)/12,1.1*Assumptions!T$202)-Assumptions!T$202)+Assumptions!T$208*MAX(0,MIN(Assumptions!$D$78*IF(Assumptions!T$191=2027,1+Assumptions!$F$175,1)/12,1.5*Assumptions!T$202)-1.1*Assumptions!T$202)+Assumptions!T$210*MAX(0,Assumptions!$D$78*IF(Assumptions!T$191=2027,1+Assumptions!$F$175,1)/12-1.5*Assumptions!T$202)))</f>
        <v>3886.1462436489</v>
      </c>
      <c r="U75" s="65" t="n">
        <f aca="false">U11*(MIN(Assumptions!$D$78*IF(Assumptions!U$191=2027,1+Assumptions!$F$175,1)/12,Assumptions!U$202)*Assumptions!U$204+(Assumptions!U$206*MAX(0,MIN(Assumptions!$D$78*IF(Assumptions!U$191=2027,1+Assumptions!$F$175,1)/12,1.1*Assumptions!U$202)-Assumptions!U$202)+Assumptions!U$208*MAX(0,MIN(Assumptions!$D$78*IF(Assumptions!U$191=2027,1+Assumptions!$F$175,1)/12,1.5*Assumptions!U$202)-1.1*Assumptions!U$202)+Assumptions!U$210*MAX(0,Assumptions!$D$78*IF(Assumptions!U$191=2027,1+Assumptions!$F$175,1)/12-1.5*Assumptions!U$202)))</f>
        <v>3883.69590790717</v>
      </c>
      <c r="V75" s="65" t="n">
        <f aca="false">V11*(MIN(Assumptions!$D$78*IF(Assumptions!V$191=2027,1+Assumptions!$F$175,1)/12,Assumptions!V$202)*Assumptions!V$204+(Assumptions!V$206*MAX(0,MIN(Assumptions!$D$78*IF(Assumptions!V$191=2027,1+Assumptions!$F$175,1)/12,1.1*Assumptions!V$202)-Assumptions!V$202)+Assumptions!V$208*MAX(0,MIN(Assumptions!$D$78*IF(Assumptions!V$191=2027,1+Assumptions!$F$175,1)/12,1.5*Assumptions!V$202)-1.1*Assumptions!V$202)+Assumptions!V$210*MAX(0,Assumptions!$D$78*IF(Assumptions!V$191=2027,1+Assumptions!$F$175,1)/12-1.5*Assumptions!V$202)))</f>
        <v>3881.24557848444</v>
      </c>
      <c r="W75" s="65" t="n">
        <f aca="false">W11*(MIN(Assumptions!$D$78*IF(Assumptions!W$191=2027,1+Assumptions!$F$175,1)/12,Assumptions!W$202)*Assumptions!W$204+(Assumptions!W$206*MAX(0,MIN(Assumptions!$D$78*IF(Assumptions!W$191=2027,1+Assumptions!$F$175,1)/12,1.1*Assumptions!W$202)-Assumptions!W$202)+Assumptions!W$208*MAX(0,MIN(Assumptions!$D$78*IF(Assumptions!W$191=2027,1+Assumptions!$F$175,1)/12,1.5*Assumptions!W$202)-1.1*Assumptions!W$202)+Assumptions!W$210*MAX(0,Assumptions!$D$78*IF(Assumptions!W$191=2027,1+Assumptions!$F$175,1)/12-1.5*Assumptions!W$202)))</f>
        <v>3881.29458513608</v>
      </c>
      <c r="X75" s="65" t="n">
        <f aca="false">X11*(MIN(Assumptions!$D$78*IF(Assumptions!X$191=2027,1+Assumptions!$F$175,1)/12,Assumptions!X$202)*Assumptions!X$204+(Assumptions!X$206*MAX(0,MIN(Assumptions!$D$78*IF(Assumptions!X$191=2027,1+Assumptions!$F$175,1)/12,1.1*Assumptions!X$202)-Assumptions!X$202)+Assumptions!X$208*MAX(0,MIN(Assumptions!$D$78*IF(Assumptions!X$191=2027,1+Assumptions!$F$175,1)/12,1.5*Assumptions!X$202)-1.1*Assumptions!X$202)+Assumptions!X$210*MAX(0,Assumptions!$D$78*IF(Assumptions!X$191=2027,1+Assumptions!$F$175,1)/12-1.5*Assumptions!X$202)))</f>
        <v>3881.3185983638</v>
      </c>
      <c r="Y75" s="65" t="n">
        <f aca="false">Y11*(MIN(Assumptions!$D$78*IF(Assumptions!Y$191=2027,1+Assumptions!$F$175,1)/12,Assumptions!Y$202)*Assumptions!Y$204+(Assumptions!Y$206*MAX(0,MIN(Assumptions!$D$78*IF(Assumptions!Y$191=2027,1+Assumptions!$F$175,1)/12,1.1*Assumptions!Y$202)-Assumptions!Y$202)+Assumptions!Y$208*MAX(0,MIN(Assumptions!$D$78*IF(Assumptions!Y$191=2027,1+Assumptions!$F$175,1)/12,1.5*Assumptions!Y$202)-1.1*Assumptions!Y$202)+Assumptions!Y$210*MAX(0,Assumptions!$D$78*IF(Assumptions!Y$191=2027,1+Assumptions!$F$175,1)/12-1.5*Assumptions!Y$202)))</f>
        <v>3881.317868165</v>
      </c>
      <c r="Z75" s="65" t="n">
        <f aca="false">Z11*(MIN(Assumptions!$D$78*IF(Assumptions!Z$191=2027,1+Assumptions!$F$175,1)/12,Assumptions!Z$202)*Assumptions!Z$204+(Assumptions!Z$206*MAX(0,MIN(Assumptions!$D$78*IF(Assumptions!Z$191=2027,1+Assumptions!$F$175,1)/12,1.1*Assumptions!Z$202)-Assumptions!Z$202)+Assumptions!Z$208*MAX(0,MIN(Assumptions!$D$78*IF(Assumptions!Z$191=2027,1+Assumptions!$F$175,1)/12,1.5*Assumptions!Z$202)-1.1*Assumptions!Z$202)+Assumptions!Z$210*MAX(0,Assumptions!$D$78*IF(Assumptions!Z$191=2027,1+Assumptions!$F$175,1)/12-1.5*Assumptions!Z$202)))</f>
        <v>3881.31763533471</v>
      </c>
      <c r="AA75" s="65" t="n">
        <f aca="false">AA11*(MIN(Assumptions!$D$78*IF(Assumptions!AA$191=2027,1+Assumptions!$F$175,1)/12,Assumptions!AA$202)*Assumptions!AA$204+(Assumptions!AA$206*MAX(0,MIN(Assumptions!$D$78*IF(Assumptions!AA$191=2027,1+Assumptions!$F$175,1)/12,1.1*Assumptions!AA$202)-Assumptions!AA$202)+Assumptions!AA$208*MAX(0,MIN(Assumptions!$D$78*IF(Assumptions!AA$191=2027,1+Assumptions!$F$175,1)/12,1.5*Assumptions!AA$202)-1.1*Assumptions!AA$202)+Assumptions!AA$210*MAX(0,Assumptions!$D$78*IF(Assumptions!AA$191=2027,1+Assumptions!$F$175,1)/12-1.5*Assumptions!AA$202)))</f>
        <v>3881.317644965</v>
      </c>
      <c r="AB75" s="65" t="n">
        <f aca="false">AB11*(MIN(Assumptions!$D$78*IF(Assumptions!AB$191=2027,1+Assumptions!$F$175,1)/12,Assumptions!AB$202)*Assumptions!AB$204+(Assumptions!AB$206*MAX(0,MIN(Assumptions!$D$78*IF(Assumptions!AB$191=2027,1+Assumptions!$F$175,1)/12,1.1*Assumptions!AB$202)-Assumptions!AB$202)+Assumptions!AB$208*MAX(0,MIN(Assumptions!$D$78*IF(Assumptions!AB$191=2027,1+Assumptions!$F$175,1)/12,1.5*Assumptions!AB$202)-1.1*Assumptions!AB$202)+Assumptions!AB$210*MAX(0,Assumptions!$D$78*IF(Assumptions!AB$191=2027,1+Assumptions!$F$175,1)/12-1.5*Assumptions!AB$202)))</f>
        <v>3881.317647197</v>
      </c>
    </row>
    <row r="76" customFormat="false" ht="15" hidden="false" customHeight="false" outlineLevel="0" collapsed="false">
      <c r="A76" s="28" t="s">
        <v>1125</v>
      </c>
      <c r="B76" s="63"/>
      <c r="C76" s="64" t="n">
        <f aca="false">SUM(E76:P76)</f>
        <v>11012.775972575</v>
      </c>
      <c r="D76" s="64" t="n">
        <f aca="false">SUM(Q76:AB76)</f>
        <v>13682.8763168767</v>
      </c>
      <c r="E76" s="65" t="n">
        <f aca="false">E12*(MIN(Assumptions!$D$79*IF(Assumptions!E$191=2027,1+Assumptions!$F$175,1)/12,Assumptions!E$202)*Assumptions!E$204+(Assumptions!E$206*MAX(0,MIN(Assumptions!$D$79*IF(Assumptions!E$191=2027,1+Assumptions!$F$175,1)/12,1.1*Assumptions!E$202)-Assumptions!E$202)+Assumptions!E$208*MAX(0,MIN(Assumptions!$D$79*IF(Assumptions!E$191=2027,1+Assumptions!$F$175,1)/12,1.5*Assumptions!E$202)-1.1*Assumptions!E$202)+Assumptions!E$210*MAX(0,Assumptions!$D$79*IF(Assumptions!E$191=2027,1+Assumptions!$F$175,1)/12-1.5*Assumptions!E$202)))</f>
        <v>839.583333333334</v>
      </c>
      <c r="F76" s="65" t="n">
        <f aca="false">F12*(MIN(Assumptions!$D$79*IF(Assumptions!F$191=2027,1+Assumptions!$F$175,1)/12,Assumptions!F$202)*Assumptions!F$204+(Assumptions!F$206*MAX(0,MIN(Assumptions!$D$79*IF(Assumptions!F$191=2027,1+Assumptions!$F$175,1)/12,1.1*Assumptions!F$202)-Assumptions!F$202)+Assumptions!F$208*MAX(0,MIN(Assumptions!$D$79*IF(Assumptions!F$191=2027,1+Assumptions!$F$175,1)/12,1.5*Assumptions!F$202)-1.1*Assumptions!F$202)+Assumptions!F$210*MAX(0,Assumptions!$D$79*IF(Assumptions!F$191=2027,1+Assumptions!$F$175,1)/12-1.5*Assumptions!F$202)))</f>
        <v>839.583333333334</v>
      </c>
      <c r="G76" s="65" t="n">
        <f aca="false">G12*(MIN(Assumptions!$D$79*IF(Assumptions!G$191=2027,1+Assumptions!$F$175,1)/12,Assumptions!G$202)*Assumptions!G$204+(Assumptions!G$206*MAX(0,MIN(Assumptions!$D$79*IF(Assumptions!G$191=2027,1+Assumptions!$F$175,1)/12,1.1*Assumptions!G$202)-Assumptions!G$202)+Assumptions!G$208*MAX(0,MIN(Assumptions!$D$79*IF(Assumptions!G$191=2027,1+Assumptions!$F$175,1)/12,1.5*Assumptions!G$202)-1.1*Assumptions!G$202)+Assumptions!G$210*MAX(0,Assumptions!$D$79*IF(Assumptions!G$191=2027,1+Assumptions!$F$175,1)/12-1.5*Assumptions!G$202)))</f>
        <v>839.583333333334</v>
      </c>
      <c r="H76" s="65" t="n">
        <f aca="false">H12*(MIN(Assumptions!$D$79*IF(Assumptions!H$191=2027,1+Assumptions!$F$175,1)/12,Assumptions!H$202)*Assumptions!H$204+(Assumptions!H$206*MAX(0,MIN(Assumptions!$D$79*IF(Assumptions!H$191=2027,1+Assumptions!$F$175,1)/12,1.1*Assumptions!H$202)-Assumptions!H$202)+Assumptions!H$208*MAX(0,MIN(Assumptions!$D$79*IF(Assumptions!H$191=2027,1+Assumptions!$F$175,1)/12,1.5*Assumptions!H$202)-1.1*Assumptions!H$202)+Assumptions!H$210*MAX(0,Assumptions!$D$79*IF(Assumptions!H$191=2027,1+Assumptions!$F$175,1)/12-1.5*Assumptions!H$202)))</f>
        <v>839.583333333334</v>
      </c>
      <c r="I76" s="65" t="n">
        <f aca="false">I12*(MIN(Assumptions!$D$79*IF(Assumptions!I$191=2027,1+Assumptions!$F$175,1)/12,Assumptions!I$202)*Assumptions!I$204+(Assumptions!I$206*MAX(0,MIN(Assumptions!$D$79*IF(Assumptions!I$191=2027,1+Assumptions!$F$175,1)/12,1.1*Assumptions!I$202)-Assumptions!I$202)+Assumptions!I$208*MAX(0,MIN(Assumptions!$D$79*IF(Assumptions!I$191=2027,1+Assumptions!$F$175,1)/12,1.5*Assumptions!I$202)-1.1*Assumptions!I$202)+Assumptions!I$210*MAX(0,Assumptions!$D$79*IF(Assumptions!I$191=2027,1+Assumptions!$F$175,1)/12-1.5*Assumptions!I$202)))</f>
        <v>839.583333333334</v>
      </c>
      <c r="J76" s="65" t="n">
        <f aca="false">J12*(MIN(Assumptions!$D$79*IF(Assumptions!J$191=2027,1+Assumptions!$F$175,1)/12,Assumptions!J$202)*Assumptions!J$204+(Assumptions!J$206*MAX(0,MIN(Assumptions!$D$79*IF(Assumptions!J$191=2027,1+Assumptions!$F$175,1)/12,1.1*Assumptions!J$202)-Assumptions!J$202)+Assumptions!J$208*MAX(0,MIN(Assumptions!$D$79*IF(Assumptions!J$191=2027,1+Assumptions!$F$175,1)/12,1.5*Assumptions!J$202)-1.1*Assumptions!J$202)+Assumptions!J$210*MAX(0,Assumptions!$D$79*IF(Assumptions!J$191=2027,1+Assumptions!$F$175,1)/12-1.5*Assumptions!J$202)))</f>
        <v>839.583333333334</v>
      </c>
      <c r="K76" s="65" t="n">
        <f aca="false">K12*(MIN(Assumptions!$D$79*IF(Assumptions!K$191=2027,1+Assumptions!$F$175,1)/12,Assumptions!K$202)*Assumptions!K$204+(Assumptions!K$206*MAX(0,MIN(Assumptions!$D$79*IF(Assumptions!K$191=2027,1+Assumptions!$F$175,1)/12,1.1*Assumptions!K$202)-Assumptions!K$202)+Assumptions!K$208*MAX(0,MIN(Assumptions!$D$79*IF(Assumptions!K$191=2027,1+Assumptions!$F$175,1)/12,1.5*Assumptions!K$202)-1.1*Assumptions!K$202)+Assumptions!K$210*MAX(0,Assumptions!$D$79*IF(Assumptions!K$191=2027,1+Assumptions!$F$175,1)/12-1.5*Assumptions!K$202)))</f>
        <v>1007.5</v>
      </c>
      <c r="L76" s="65" t="n">
        <f aca="false">L12*(MIN(Assumptions!$D$79*IF(Assumptions!L$191=2027,1+Assumptions!$F$175,1)/12,Assumptions!L$202)*Assumptions!L$204+(Assumptions!L$206*MAX(0,MIN(Assumptions!$D$79*IF(Assumptions!L$191=2027,1+Assumptions!$F$175,1)/12,1.1*Assumptions!L$202)-Assumptions!L$202)+Assumptions!L$208*MAX(0,MIN(Assumptions!$D$79*IF(Assumptions!L$191=2027,1+Assumptions!$F$175,1)/12,1.5*Assumptions!L$202)-1.1*Assumptions!L$202)+Assumptions!L$210*MAX(0,Assumptions!$D$79*IF(Assumptions!L$191=2027,1+Assumptions!$F$175,1)/12-1.5*Assumptions!L$202)))</f>
        <v>1007.5</v>
      </c>
      <c r="M76" s="65" t="n">
        <f aca="false">M12*(MIN(Assumptions!$D$79*IF(Assumptions!M$191=2027,1+Assumptions!$F$175,1)/12,Assumptions!M$202)*Assumptions!M$204+(Assumptions!M$206*MAX(0,MIN(Assumptions!$D$79*IF(Assumptions!M$191=2027,1+Assumptions!$F$175,1)/12,1.1*Assumptions!M$202)-Assumptions!M$202)+Assumptions!M$208*MAX(0,MIN(Assumptions!$D$79*IF(Assumptions!M$191=2027,1+Assumptions!$F$175,1)/12,1.5*Assumptions!M$202)-1.1*Assumptions!M$202)+Assumptions!M$210*MAX(0,Assumptions!$D$79*IF(Assumptions!M$191=2027,1+Assumptions!$F$175,1)/12-1.5*Assumptions!M$202)))</f>
        <v>997.425</v>
      </c>
      <c r="N76" s="65" t="n">
        <f aca="false">N12*(MIN(Assumptions!$D$79*IF(Assumptions!N$191=2027,1+Assumptions!$F$175,1)/12,Assumptions!N$202)*Assumptions!N$204+(Assumptions!N$206*MAX(0,MIN(Assumptions!$D$79*IF(Assumptions!N$191=2027,1+Assumptions!$F$175,1)/12,1.1*Assumptions!N$202)-Assumptions!N$202)+Assumptions!N$208*MAX(0,MIN(Assumptions!$D$79*IF(Assumptions!N$191=2027,1+Assumptions!$F$175,1)/12,1.5*Assumptions!N$202)-1.1*Assumptions!N$202)+Assumptions!N$210*MAX(0,Assumptions!$D$79*IF(Assumptions!N$191=2027,1+Assumptions!$F$175,1)/12-1.5*Assumptions!N$202)))</f>
        <v>987.45075</v>
      </c>
      <c r="O76" s="65" t="n">
        <f aca="false">O12*(MIN(Assumptions!$D$79*IF(Assumptions!O$191=2027,1+Assumptions!$F$175,1)/12,Assumptions!O$202)*Assumptions!O$204+(Assumptions!O$206*MAX(0,MIN(Assumptions!$D$79*IF(Assumptions!O$191=2027,1+Assumptions!$F$175,1)/12,1.1*Assumptions!O$202)-Assumptions!O$202)+Assumptions!O$208*MAX(0,MIN(Assumptions!$D$79*IF(Assumptions!O$191=2027,1+Assumptions!$F$175,1)/12,1.5*Assumptions!O$202)-1.1*Assumptions!O$202)+Assumptions!O$210*MAX(0,Assumptions!$D$79*IF(Assumptions!O$191=2027,1+Assumptions!$F$175,1)/12-1.5*Assumptions!O$202)))</f>
        <v>987.6512425</v>
      </c>
      <c r="P76" s="65" t="n">
        <f aca="false">P12*(MIN(Assumptions!$D$79*IF(Assumptions!P$191=2027,1+Assumptions!$F$175,1)/12,Assumptions!P$202)*Assumptions!P$204+(Assumptions!P$206*MAX(0,MIN(Assumptions!$D$79*IF(Assumptions!P$191=2027,1+Assumptions!$F$175,1)/12,1.1*Assumptions!P$202)-Assumptions!P$202)+Assumptions!P$208*MAX(0,MIN(Assumptions!$D$79*IF(Assumptions!P$191=2027,1+Assumptions!$F$175,1)/12,1.5*Assumptions!P$202)-1.1*Assumptions!P$202)+Assumptions!P$210*MAX(0,Assumptions!$D$79*IF(Assumptions!P$191=2027,1+Assumptions!$F$175,1)/12-1.5*Assumptions!P$202)))</f>
        <v>987.748980075</v>
      </c>
      <c r="Q76" s="65" t="n">
        <f aca="false">Q12*(MIN(Assumptions!$D$79*IF(Assumptions!Q$191=2027,1+Assumptions!$F$175,1)/12,Assumptions!Q$202)*Assumptions!Q$204+(Assumptions!Q$206*MAX(0,MIN(Assumptions!$D$79*IF(Assumptions!Q$191=2027,1+Assumptions!$F$175,1)/12,1.1*Assumptions!Q$202)-Assumptions!Q$202)+Assumptions!Q$208*MAX(0,MIN(Assumptions!$D$79*IF(Assumptions!Q$191=2027,1+Assumptions!$F$175,1)/12,1.5*Assumptions!Q$202)-1.1*Assumptions!Q$202)+Assumptions!Q$210*MAX(0,Assumptions!$D$79*IF(Assumptions!Q$191=2027,1+Assumptions!$F$175,1)/12-1.5*Assumptions!Q$202)))</f>
        <v>1025.46269879695</v>
      </c>
      <c r="R76" s="65" t="n">
        <f aca="false">R12*(MIN(Assumptions!$D$79*IF(Assumptions!R$191=2027,1+Assumptions!$F$175,1)/12,Assumptions!R$202)*Assumptions!R$204+(Assumptions!R$206*MAX(0,MIN(Assumptions!$D$79*IF(Assumptions!R$191=2027,1+Assumptions!$F$175,1)/12,1.1*Assumptions!R$202)-Assumptions!R$202)+Assumptions!R$208*MAX(0,MIN(Assumptions!$D$79*IF(Assumptions!R$191=2027,1+Assumptions!$F$175,1)/12,1.5*Assumptions!R$202)-1.1*Assumptions!R$202)+Assumptions!R$210*MAX(0,Assumptions!$D$79*IF(Assumptions!R$191=2027,1+Assumptions!$F$175,1)/12-1.5*Assumptions!R$202)))</f>
        <v>1025.46171506227</v>
      </c>
      <c r="S76" s="65" t="n">
        <f aca="false">S12*(MIN(Assumptions!$D$79*IF(Assumptions!S$191=2027,1+Assumptions!$F$175,1)/12,Assumptions!S$202)*Assumptions!S$204+(Assumptions!S$206*MAX(0,MIN(Assumptions!$D$79*IF(Assumptions!S$191=2027,1+Assumptions!$F$175,1)/12,1.1*Assumptions!S$202)-Assumptions!S$202)+Assumptions!S$208*MAX(0,MIN(Assumptions!$D$79*IF(Assumptions!S$191=2027,1+Assumptions!$F$175,1)/12,1.5*Assumptions!S$202)-1.1*Assumptions!S$202)+Assumptions!S$210*MAX(0,Assumptions!$D$79*IF(Assumptions!S$191=2027,1+Assumptions!$F$175,1)/12-1.5*Assumptions!S$202)))</f>
        <v>1025.46175586141</v>
      </c>
      <c r="T76" s="65" t="n">
        <f aca="false">T12*(MIN(Assumptions!$D$79*IF(Assumptions!T$191=2027,1+Assumptions!$F$175,1)/12,Assumptions!T$202)*Assumptions!T$204+(Assumptions!T$206*MAX(0,MIN(Assumptions!$D$79*IF(Assumptions!T$191=2027,1+Assumptions!$F$175,1)/12,1.1*Assumptions!T$202)-Assumptions!T$202)+Assumptions!T$208*MAX(0,MIN(Assumptions!$D$79*IF(Assumptions!T$191=2027,1+Assumptions!$F$175,1)/12,1.5*Assumptions!T$202)-1.1*Assumptions!T$202)+Assumptions!T$210*MAX(0,Assumptions!$D$79*IF(Assumptions!T$191=2027,1+Assumptions!$F$175,1)/12-1.5*Assumptions!T$202)))</f>
        <v>1025.46176529076</v>
      </c>
      <c r="U76" s="65" t="n">
        <f aca="false">U12*(MIN(Assumptions!$D$79*IF(Assumptions!U$191=2027,1+Assumptions!$F$175,1)/12,Assumptions!U$202)*Assumptions!U$204+(Assumptions!U$206*MAX(0,MIN(Assumptions!$D$79*IF(Assumptions!U$191=2027,1+Assumptions!$F$175,1)/12,1.1*Assumptions!U$202)-Assumptions!U$202)+Assumptions!U$208*MAX(0,MIN(Assumptions!$D$79*IF(Assumptions!U$191=2027,1+Assumptions!$F$175,1)/12,1.5*Assumptions!U$202)-1.1*Assumptions!U$202)+Assumptions!U$210*MAX(0,Assumptions!$D$79*IF(Assumptions!U$191=2027,1+Assumptions!$F$175,1)/12-1.5*Assumptions!U$202)))</f>
        <v>1025.46176478848</v>
      </c>
      <c r="V76" s="65" t="n">
        <f aca="false">V12*(MIN(Assumptions!$D$79*IF(Assumptions!V$191=2027,1+Assumptions!$F$175,1)/12,Assumptions!V$202)*Assumptions!V$204+(Assumptions!V$206*MAX(0,MIN(Assumptions!$D$79*IF(Assumptions!V$191=2027,1+Assumptions!$F$175,1)/12,1.1*Assumptions!V$202)-Assumptions!V$202)+Assumptions!V$208*MAX(0,MIN(Assumptions!$D$79*IF(Assumptions!V$191=2027,1+Assumptions!$F$175,1)/12,1.5*Assumptions!V$202)-1.1*Assumptions!V$202)+Assumptions!V$210*MAX(0,Assumptions!$D$79*IF(Assumptions!V$191=2027,1+Assumptions!$F$175,1)/12-1.5*Assumptions!V$202)))</f>
        <v>1025.46176469921</v>
      </c>
      <c r="W76" s="65" t="n">
        <f aca="false">W12*(MIN(Assumptions!$D$79*IF(Assumptions!W$191=2027,1+Assumptions!$F$175,1)/12,Assumptions!W$202)*Assumptions!W$204+(Assumptions!W$206*MAX(0,MIN(Assumptions!$D$79*IF(Assumptions!W$191=2027,1+Assumptions!$F$175,1)/12,1.1*Assumptions!W$202)-Assumptions!W$202)+Assumptions!W$208*MAX(0,MIN(Assumptions!$D$79*IF(Assumptions!W$191=2027,1+Assumptions!$F$175,1)/12,1.5*Assumptions!W$202)-1.1*Assumptions!W$202)+Assumptions!W$210*MAX(0,Assumptions!$D$79*IF(Assumptions!W$191=2027,1+Assumptions!$F$175,1)/12-1.5*Assumptions!W$202)))</f>
        <v>1025.46176470512</v>
      </c>
      <c r="X76" s="65" t="n">
        <f aca="false">X12*(MIN(Assumptions!$D$79*IF(Assumptions!X$191=2027,1+Assumptions!$F$175,1)/12,Assumptions!X$202)*Assumptions!X$204+(Assumptions!X$206*MAX(0,MIN(Assumptions!$D$79*IF(Assumptions!X$191=2027,1+Assumptions!$F$175,1)/12,1.1*Assumptions!X$202)-Assumptions!X$202)+Assumptions!X$208*MAX(0,MIN(Assumptions!$D$79*IF(Assumptions!X$191=2027,1+Assumptions!$F$175,1)/12,1.5*Assumptions!X$202)-1.1*Assumptions!X$202)+Assumptions!X$210*MAX(0,Assumptions!$D$79*IF(Assumptions!X$191=2027,1+Assumptions!$F$175,1)/12-1.5*Assumptions!X$202)))</f>
        <v>1025.46176470596</v>
      </c>
      <c r="Y76" s="65" t="n">
        <f aca="false">Y12*(MIN(Assumptions!$D$79*IF(Assumptions!Y$191=2027,1+Assumptions!$F$175,1)/12,Assumptions!Y$202)*Assumptions!Y$204+(Assumptions!Y$206*MAX(0,MIN(Assumptions!$D$79*IF(Assumptions!Y$191=2027,1+Assumptions!$F$175,1)/12,1.1*Assumptions!Y$202)-Assumptions!Y$202)+Assumptions!Y$208*MAX(0,MIN(Assumptions!$D$79*IF(Assumptions!Y$191=2027,1+Assumptions!$F$175,1)/12,1.5*Assumptions!Y$202)-1.1*Assumptions!Y$202)+Assumptions!Y$210*MAX(0,Assumptions!$D$79*IF(Assumptions!Y$191=2027,1+Assumptions!$F$175,1)/12-1.5*Assumptions!Y$202)))</f>
        <v>1374.11876470589</v>
      </c>
      <c r="Z76" s="65" t="n">
        <f aca="false">Z12*(MIN(Assumptions!$D$79*IF(Assumptions!Z$191=2027,1+Assumptions!$F$175,1)/12,Assumptions!Z$202)*Assumptions!Z$204+(Assumptions!Z$206*MAX(0,MIN(Assumptions!$D$79*IF(Assumptions!Z$191=2027,1+Assumptions!$F$175,1)/12,1.1*Assumptions!Z$202)-Assumptions!Z$202)+Assumptions!Z$208*MAX(0,MIN(Assumptions!$D$79*IF(Assumptions!Z$191=2027,1+Assumptions!$F$175,1)/12,1.5*Assumptions!Z$202)-1.1*Assumptions!Z$202)+Assumptions!Z$210*MAX(0,Assumptions!$D$79*IF(Assumptions!Z$191=2027,1+Assumptions!$F$175,1)/12-1.5*Assumptions!Z$202)))</f>
        <v>1370.63219470588</v>
      </c>
      <c r="AA76" s="65" t="n">
        <f aca="false">AA12*(MIN(Assumptions!$D$79*IF(Assumptions!AA$191=2027,1+Assumptions!$F$175,1)/12,Assumptions!AA$202)*Assumptions!AA$204+(Assumptions!AA$206*MAX(0,MIN(Assumptions!$D$79*IF(Assumptions!AA$191=2027,1+Assumptions!$F$175,1)/12,1.1*Assumptions!AA$202)-Assumptions!AA$202)+Assumptions!AA$208*MAX(0,MIN(Assumptions!$D$79*IF(Assumptions!AA$191=2027,1+Assumptions!$F$175,1)/12,1.5*Assumptions!AA$202)-1.1*Assumptions!AA$202)+Assumptions!AA$210*MAX(0,Assumptions!$D$79*IF(Assumptions!AA$191=2027,1+Assumptions!$F$175,1)/12-1.5*Assumptions!AA$202)))</f>
        <v>1367.18049040588</v>
      </c>
      <c r="AB76" s="65" t="n">
        <f aca="false">AB12*(MIN(Assumptions!$D$79*IF(Assumptions!AB$191=2027,1+Assumptions!$F$175,1)/12,Assumptions!AB$202)*Assumptions!AB$204+(Assumptions!AB$206*MAX(0,MIN(Assumptions!$D$79*IF(Assumptions!AB$191=2027,1+Assumptions!$F$175,1)/12,1.1*Assumptions!AB$202)-Assumptions!AB$202)+Assumptions!AB$208*MAX(0,MIN(Assumptions!$D$79*IF(Assumptions!AB$191=2027,1+Assumptions!$F$175,1)/12,1.5*Assumptions!AB$202)-1.1*Assumptions!AB$202)+Assumptions!AB$210*MAX(0,Assumptions!$D$79*IF(Assumptions!AB$191=2027,1+Assumptions!$F$175,1)/12-1.5*Assumptions!AB$202)))</f>
        <v>1367.24987314888</v>
      </c>
    </row>
    <row r="77" customFormat="false" ht="15" hidden="false" customHeight="false" outlineLevel="0" collapsed="false">
      <c r="A77" s="28" t="s">
        <v>1126</v>
      </c>
      <c r="B77" s="63"/>
      <c r="C77" s="64" t="n">
        <f aca="false">SUM(E77:P77)</f>
        <v>15524.8851335841</v>
      </c>
      <c r="D77" s="64" t="n">
        <f aca="false">SUM(Q77:AB77)</f>
        <v>19920.8829374527</v>
      </c>
      <c r="E77" s="65" t="n">
        <f aca="false">E13*(MIN(Assumptions!$D$80*IF(Assumptions!E$191=2027,1+Assumptions!$F$175,1)/12,Assumptions!E$202)*Assumptions!E$204+(Assumptions!E$206*MAX(0,MIN(Assumptions!$D$80*IF(Assumptions!E$191=2027,1+Assumptions!$F$175,1)/12,1.1*Assumptions!E$202)-Assumptions!E$202)+Assumptions!E$208*MAX(0,MIN(Assumptions!$D$80*IF(Assumptions!E$191=2027,1+Assumptions!$F$175,1)/12,1.5*Assumptions!E$202)-1.1*Assumptions!E$202)+Assumptions!E$210*MAX(0,Assumptions!$D$80*IF(Assumptions!E$191=2027,1+Assumptions!$F$175,1)/12-1.5*Assumptions!E$202)))</f>
        <v>1300</v>
      </c>
      <c r="F77" s="65" t="n">
        <f aca="false">F13*(MIN(Assumptions!$D$80*IF(Assumptions!F$191=2027,1+Assumptions!$F$175,1)/12,Assumptions!F$202)*Assumptions!F$204+(Assumptions!F$206*MAX(0,MIN(Assumptions!$D$80*IF(Assumptions!F$191=2027,1+Assumptions!$F$175,1)/12,1.1*Assumptions!F$202)-Assumptions!F$202)+Assumptions!F$208*MAX(0,MIN(Assumptions!$D$80*IF(Assumptions!F$191=2027,1+Assumptions!$F$175,1)/12,1.5*Assumptions!F$202)-1.1*Assumptions!F$202)+Assumptions!F$210*MAX(0,Assumptions!$D$80*IF(Assumptions!F$191=2027,1+Assumptions!$F$175,1)/12-1.5*Assumptions!F$202)))</f>
        <v>1300</v>
      </c>
      <c r="G77" s="65" t="n">
        <f aca="false">G13*(MIN(Assumptions!$D$80*IF(Assumptions!G$191=2027,1+Assumptions!$F$175,1)/12,Assumptions!G$202)*Assumptions!G$204+(Assumptions!G$206*MAX(0,MIN(Assumptions!$D$80*IF(Assumptions!G$191=2027,1+Assumptions!$F$175,1)/12,1.1*Assumptions!G$202)-Assumptions!G$202)+Assumptions!G$208*MAX(0,MIN(Assumptions!$D$80*IF(Assumptions!G$191=2027,1+Assumptions!$F$175,1)/12,1.5*Assumptions!G$202)-1.1*Assumptions!G$202)+Assumptions!G$210*MAX(0,Assumptions!$D$80*IF(Assumptions!G$191=2027,1+Assumptions!$F$175,1)/12-1.5*Assumptions!G$202)))</f>
        <v>1300</v>
      </c>
      <c r="H77" s="65" t="n">
        <f aca="false">H13*(MIN(Assumptions!$D$80*IF(Assumptions!H$191=2027,1+Assumptions!$F$175,1)/12,Assumptions!H$202)*Assumptions!H$204+(Assumptions!H$206*MAX(0,MIN(Assumptions!$D$80*IF(Assumptions!H$191=2027,1+Assumptions!$F$175,1)/12,1.1*Assumptions!H$202)-Assumptions!H$202)+Assumptions!H$208*MAX(0,MIN(Assumptions!$D$80*IF(Assumptions!H$191=2027,1+Assumptions!$F$175,1)/12,1.5*Assumptions!H$202)-1.1*Assumptions!H$202)+Assumptions!H$210*MAX(0,Assumptions!$D$80*IF(Assumptions!H$191=2027,1+Assumptions!$F$175,1)/12-1.5*Assumptions!H$202)))</f>
        <v>1300</v>
      </c>
      <c r="I77" s="65" t="n">
        <f aca="false">I13*(MIN(Assumptions!$D$80*IF(Assumptions!I$191=2027,1+Assumptions!$F$175,1)/12,Assumptions!I$202)*Assumptions!I$204+(Assumptions!I$206*MAX(0,MIN(Assumptions!$D$80*IF(Assumptions!I$191=2027,1+Assumptions!$F$175,1)/12,1.1*Assumptions!I$202)-Assumptions!I$202)+Assumptions!I$208*MAX(0,MIN(Assumptions!$D$80*IF(Assumptions!I$191=2027,1+Assumptions!$F$175,1)/12,1.5*Assumptions!I$202)-1.1*Assumptions!I$202)+Assumptions!I$210*MAX(0,Assumptions!$D$80*IF(Assumptions!I$191=2027,1+Assumptions!$F$175,1)/12-1.5*Assumptions!I$202)))</f>
        <v>1300</v>
      </c>
      <c r="J77" s="65" t="n">
        <f aca="false">J13*(MIN(Assumptions!$D$80*IF(Assumptions!J$191=2027,1+Assumptions!$F$175,1)/12,Assumptions!J$202)*Assumptions!J$204+(Assumptions!J$206*MAX(0,MIN(Assumptions!$D$80*IF(Assumptions!J$191=2027,1+Assumptions!$F$175,1)/12,1.1*Assumptions!J$202)-Assumptions!J$202)+Assumptions!J$208*MAX(0,MIN(Assumptions!$D$80*IF(Assumptions!J$191=2027,1+Assumptions!$F$175,1)/12,1.5*Assumptions!J$202)-1.1*Assumptions!J$202)+Assumptions!J$210*MAX(0,Assumptions!$D$80*IF(Assumptions!J$191=2027,1+Assumptions!$F$175,1)/12-1.5*Assumptions!J$202)))</f>
        <v>1300</v>
      </c>
      <c r="K77" s="65" t="n">
        <f aca="false">K13*(MIN(Assumptions!$D$80*IF(Assumptions!K$191=2027,1+Assumptions!$F$175,1)/12,Assumptions!K$202)*Assumptions!K$204+(Assumptions!K$206*MAX(0,MIN(Assumptions!$D$80*IF(Assumptions!K$191=2027,1+Assumptions!$F$175,1)/12,1.1*Assumptions!K$202)-Assumptions!K$202)+Assumptions!K$208*MAX(0,MIN(Assumptions!$D$80*IF(Assumptions!K$191=2027,1+Assumptions!$F$175,1)/12,1.5*Assumptions!K$202)-1.1*Assumptions!K$202)+Assumptions!K$210*MAX(0,Assumptions!$D$80*IF(Assumptions!K$191=2027,1+Assumptions!$F$175,1)/12-1.5*Assumptions!K$202)))</f>
        <v>1300</v>
      </c>
      <c r="L77" s="65" t="n">
        <f aca="false">L13*(MIN(Assumptions!$D$80*IF(Assumptions!L$191=2027,1+Assumptions!$F$175,1)/12,Assumptions!L$202)*Assumptions!L$204+(Assumptions!L$206*MAX(0,MIN(Assumptions!$D$80*IF(Assumptions!L$191=2027,1+Assumptions!$F$175,1)/12,1.1*Assumptions!L$202)-Assumptions!L$202)+Assumptions!L$208*MAX(0,MIN(Assumptions!$D$80*IF(Assumptions!L$191=2027,1+Assumptions!$F$175,1)/12,1.5*Assumptions!L$202)-1.1*Assumptions!L$202)+Assumptions!L$210*MAX(0,Assumptions!$D$80*IF(Assumptions!L$191=2027,1+Assumptions!$F$175,1)/12-1.5*Assumptions!L$202)))</f>
        <v>1300</v>
      </c>
      <c r="M77" s="65" t="n">
        <f aca="false">M13*(MIN(Assumptions!$D$80*IF(Assumptions!M$191=2027,1+Assumptions!$F$175,1)/12,Assumptions!M$202)*Assumptions!M$204+(Assumptions!M$206*MAX(0,MIN(Assumptions!$D$80*IF(Assumptions!M$191=2027,1+Assumptions!$F$175,1)/12,1.1*Assumptions!M$202)-Assumptions!M$202)+Assumptions!M$208*MAX(0,MIN(Assumptions!$D$80*IF(Assumptions!M$191=2027,1+Assumptions!$F$175,1)/12,1.5*Assumptions!M$202)-1.1*Assumptions!M$202)+Assumptions!M$210*MAX(0,Assumptions!$D$80*IF(Assumptions!M$191=2027,1+Assumptions!$F$175,1)/12-1.5*Assumptions!M$202)))</f>
        <v>1289.16666666667</v>
      </c>
      <c r="N77" s="65" t="n">
        <f aca="false">N13*(MIN(Assumptions!$D$80*IF(Assumptions!N$191=2027,1+Assumptions!$F$175,1)/12,Assumptions!N$202)*Assumptions!N$204+(Assumptions!N$206*MAX(0,MIN(Assumptions!$D$80*IF(Assumptions!N$191=2027,1+Assumptions!$F$175,1)/12,1.1*Assumptions!N$202)-Assumptions!N$202)+Assumptions!N$208*MAX(0,MIN(Assumptions!$D$80*IF(Assumptions!N$191=2027,1+Assumptions!$F$175,1)/12,1.5*Assumptions!N$202)-1.1*Assumptions!N$202)+Assumptions!N$210*MAX(0,Assumptions!$D$80*IF(Assumptions!N$191=2027,1+Assumptions!$F$175,1)/12-1.5*Assumptions!N$202)))</f>
        <v>1278.42361111111</v>
      </c>
      <c r="O77" s="65" t="n">
        <f aca="false">O13*(MIN(Assumptions!$D$80*IF(Assumptions!O$191=2027,1+Assumptions!$F$175,1)/12,Assumptions!O$202)*Assumptions!O$204+(Assumptions!O$206*MAX(0,MIN(Assumptions!$D$80*IF(Assumptions!O$191=2027,1+Assumptions!$F$175,1)/12,1.1*Assumptions!O$202)-Assumptions!O$202)+Assumptions!O$208*MAX(0,MIN(Assumptions!$D$80*IF(Assumptions!O$191=2027,1+Assumptions!$F$175,1)/12,1.5*Assumptions!O$202)-1.1*Assumptions!O$202)+Assumptions!O$210*MAX(0,Assumptions!$D$80*IF(Assumptions!O$191=2027,1+Assumptions!$F$175,1)/12-1.5*Assumptions!O$202)))</f>
        <v>1278.60341435185</v>
      </c>
      <c r="P77" s="65" t="n">
        <f aca="false">P13*(MIN(Assumptions!$D$80*IF(Assumptions!P$191=2027,1+Assumptions!$F$175,1)/12,Assumptions!P$202)*Assumptions!P$204+(Assumptions!P$206*MAX(0,MIN(Assumptions!$D$80*IF(Assumptions!P$191=2027,1+Assumptions!$F$175,1)/12,1.1*Assumptions!P$202)-Assumptions!P$202)+Assumptions!P$208*MAX(0,MIN(Assumptions!$D$80*IF(Assumptions!P$191=2027,1+Assumptions!$F$175,1)/12,1.5*Assumptions!P$202)-1.1*Assumptions!P$202)+Assumptions!P$210*MAX(0,Assumptions!$D$80*IF(Assumptions!P$191=2027,1+Assumptions!$F$175,1)/12-1.5*Assumptions!P$202)))</f>
        <v>1278.69144145448</v>
      </c>
      <c r="Q77" s="65" t="n">
        <f aca="false">Q13*(MIN(Assumptions!$D$80*IF(Assumptions!Q$191=2027,1+Assumptions!$F$175,1)/12,Assumptions!Q$202)*Assumptions!Q$204+(Assumptions!Q$206*MAX(0,MIN(Assumptions!$D$80*IF(Assumptions!Q$191=2027,1+Assumptions!$F$175,1)/12,1.1*Assumptions!Q$202)-Assumptions!Q$202)+Assumptions!Q$208*MAX(0,MIN(Assumptions!$D$80*IF(Assumptions!Q$191=2027,1+Assumptions!$F$175,1)/12,1.5*Assumptions!Q$202)-1.1*Assumptions!Q$202)+Assumptions!Q$210*MAX(0,Assumptions!$D$80*IF(Assumptions!Q$191=2027,1+Assumptions!$F$175,1)/12-1.5*Assumptions!Q$202)))</f>
        <v>1664.9254651975</v>
      </c>
      <c r="R77" s="65" t="n">
        <f aca="false">R13*(MIN(Assumptions!$D$80*IF(Assumptions!R$191=2027,1+Assumptions!$F$175,1)/12,Assumptions!R$202)*Assumptions!R$204+(Assumptions!R$206*MAX(0,MIN(Assumptions!$D$80*IF(Assumptions!R$191=2027,1+Assumptions!$F$175,1)/12,1.1*Assumptions!R$202)-Assumptions!R$202)+Assumptions!R$208*MAX(0,MIN(Assumptions!$D$80*IF(Assumptions!R$191=2027,1+Assumptions!$F$175,1)/12,1.5*Assumptions!R$202)-1.1*Assumptions!R$202)+Assumptions!R$210*MAX(0,Assumptions!$D$80*IF(Assumptions!R$191=2027,1+Assumptions!$F$175,1)/12-1.5*Assumptions!R$202)))</f>
        <v>1662.11297293717</v>
      </c>
      <c r="S77" s="65" t="n">
        <f aca="false">S13*(MIN(Assumptions!$D$80*IF(Assumptions!S$191=2027,1+Assumptions!$F$175,1)/12,Assumptions!S$202)*Assumptions!S$204+(Assumptions!S$206*MAX(0,MIN(Assumptions!$D$80*IF(Assumptions!S$191=2027,1+Assumptions!$F$175,1)/12,1.1*Assumptions!S$202)-Assumptions!S$202)+Assumptions!S$208*MAX(0,MIN(Assumptions!$D$80*IF(Assumptions!S$191=2027,1+Assumptions!$F$175,1)/12,1.5*Assumptions!S$202)-1.1*Assumptions!S$202)+Assumptions!S$210*MAX(0,Assumptions!$D$80*IF(Assumptions!S$191=2027,1+Assumptions!$F$175,1)/12-1.5*Assumptions!S$202)))</f>
        <v>1659.32467968221</v>
      </c>
      <c r="T77" s="65" t="n">
        <f aca="false">T13*(MIN(Assumptions!$D$80*IF(Assumptions!T$191=2027,1+Assumptions!$F$175,1)/12,Assumptions!T$202)*Assumptions!T$204+(Assumptions!T$206*MAX(0,MIN(Assumptions!$D$80*IF(Assumptions!T$191=2027,1+Assumptions!$F$175,1)/12,1.1*Assumptions!T$202)-Assumptions!T$202)+Assumptions!T$208*MAX(0,MIN(Assumptions!$D$80*IF(Assumptions!T$191=2027,1+Assumptions!$F$175,1)/12,1.5*Assumptions!T$202)-1.1*Assumptions!T$202)+Assumptions!T$210*MAX(0,Assumptions!$D$80*IF(Assumptions!T$191=2027,1+Assumptions!$F$175,1)/12-1.5*Assumptions!T$202)))</f>
        <v>1659.37135289484</v>
      </c>
      <c r="U77" s="65" t="n">
        <f aca="false">U13*(MIN(Assumptions!$D$80*IF(Assumptions!U$191=2027,1+Assumptions!$F$175,1)/12,Assumptions!U$202)*Assumptions!U$204+(Assumptions!U$206*MAX(0,MIN(Assumptions!$D$80*IF(Assumptions!U$191=2027,1+Assumptions!$F$175,1)/12,1.1*Assumptions!U$202)-Assumptions!U$202)+Assumptions!U$208*MAX(0,MIN(Assumptions!$D$80*IF(Assumptions!U$191=2027,1+Assumptions!$F$175,1)/12,1.5*Assumptions!U$202)-1.1*Assumptions!U$202)+Assumptions!U$210*MAX(0,Assumptions!$D$80*IF(Assumptions!U$191=2027,1+Assumptions!$F$175,1)/12-1.5*Assumptions!U$202)))</f>
        <v>1659.39419972852</v>
      </c>
      <c r="V77" s="65" t="n">
        <f aca="false">V13*(MIN(Assumptions!$D$80*IF(Assumptions!V$191=2027,1+Assumptions!$F$175,1)/12,Assumptions!V$202)*Assumptions!V$204+(Assumptions!V$206*MAX(0,MIN(Assumptions!$D$80*IF(Assumptions!V$191=2027,1+Assumptions!$F$175,1)/12,1.1*Assumptions!V$202)-Assumptions!V$202)+Assumptions!V$208*MAX(0,MIN(Assumptions!$D$80*IF(Assumptions!V$191=2027,1+Assumptions!$F$175,1)/12,1.5*Assumptions!V$202)-1.1*Assumptions!V$202)+Assumptions!V$210*MAX(0,Assumptions!$D$80*IF(Assumptions!V$191=2027,1+Assumptions!$F$175,1)/12-1.5*Assumptions!V$202)))</f>
        <v>1659.39362039481</v>
      </c>
      <c r="W77" s="65" t="n">
        <f aca="false">W13*(MIN(Assumptions!$D$80*IF(Assumptions!W$191=2027,1+Assumptions!$F$175,1)/12,Assumptions!W$202)*Assumptions!W$204+(Assumptions!W$206*MAX(0,MIN(Assumptions!$D$80*IF(Assumptions!W$191=2027,1+Assumptions!$F$175,1)/12,1.1*Assumptions!W$202)-Assumptions!W$202)+Assumptions!W$208*MAX(0,MIN(Assumptions!$D$80*IF(Assumptions!W$191=2027,1+Assumptions!$F$175,1)/12,1.5*Assumptions!W$202)-1.1*Assumptions!W$202)+Assumptions!W$210*MAX(0,Assumptions!$D$80*IF(Assumptions!W$191=2027,1+Assumptions!$F$175,1)/12-1.5*Assumptions!W$202)))</f>
        <v>1659.39343483231</v>
      </c>
      <c r="X77" s="65" t="n">
        <f aca="false">X13*(MIN(Assumptions!$D$80*IF(Assumptions!X$191=2027,1+Assumptions!$F$175,1)/12,Assumptions!X$202)*Assumptions!X$204+(Assumptions!X$206*MAX(0,MIN(Assumptions!$D$80*IF(Assumptions!X$191=2027,1+Assumptions!$F$175,1)/12,1.1*Assumptions!X$202)-Assumptions!X$202)+Assumptions!X$208*MAX(0,MIN(Assumptions!$D$80*IF(Assumptions!X$191=2027,1+Assumptions!$F$175,1)/12,1.5*Assumptions!X$202)-1.1*Assumptions!X$202)+Assumptions!X$210*MAX(0,Assumptions!$D$80*IF(Assumptions!X$191=2027,1+Assumptions!$F$175,1)/12-1.5*Assumptions!X$202)))</f>
        <v>1659.39344120644</v>
      </c>
      <c r="Y77" s="65" t="n">
        <f aca="false">Y13*(MIN(Assumptions!$D$80*IF(Assumptions!Y$191=2027,1+Assumptions!$F$175,1)/12,Assumptions!Y$202)*Assumptions!Y$204+(Assumptions!Y$206*MAX(0,MIN(Assumptions!$D$80*IF(Assumptions!Y$191=2027,1+Assumptions!$F$175,1)/12,1.1*Assumptions!Y$202)-Assumptions!Y$202)+Assumptions!Y$208*MAX(0,MIN(Assumptions!$D$80*IF(Assumptions!Y$191=2027,1+Assumptions!$F$175,1)/12,1.5*Assumptions!Y$202)-1.1*Assumptions!Y$202)+Assumptions!Y$210*MAX(0,Assumptions!$D$80*IF(Assumptions!Y$191=2027,1+Assumptions!$F$175,1)/12-1.5*Assumptions!Y$202)))</f>
        <v>1659.39344269968</v>
      </c>
      <c r="Z77" s="65" t="n">
        <f aca="false">Z13*(MIN(Assumptions!$D$80*IF(Assumptions!Z$191=2027,1+Assumptions!$F$175,1)/12,Assumptions!Z$202)*Assumptions!Z$204+(Assumptions!Z$206*MAX(0,MIN(Assumptions!$D$80*IF(Assumptions!Z$191=2027,1+Assumptions!$F$175,1)/12,1.1*Assumptions!Z$202)-Assumptions!Z$202)+Assumptions!Z$208*MAX(0,MIN(Assumptions!$D$80*IF(Assumptions!Z$191=2027,1+Assumptions!$F$175,1)/12,1.5*Assumptions!Z$202)-1.1*Assumptions!Z$202)+Assumptions!Z$210*MAX(0,Assumptions!$D$80*IF(Assumptions!Z$191=2027,1+Assumptions!$F$175,1)/12-1.5*Assumptions!Z$202)))</f>
        <v>1659.39344263412</v>
      </c>
      <c r="AA77" s="65" t="n">
        <f aca="false">AA13*(MIN(Assumptions!$D$80*IF(Assumptions!AA$191=2027,1+Assumptions!$F$175,1)/12,Assumptions!AA$202)*Assumptions!AA$204+(Assumptions!AA$206*MAX(0,MIN(Assumptions!$D$80*IF(Assumptions!AA$191=2027,1+Assumptions!$F$175,1)/12,1.1*Assumptions!AA$202)-Assumptions!AA$202)+Assumptions!AA$208*MAX(0,MIN(Assumptions!$D$80*IF(Assumptions!AA$191=2027,1+Assumptions!$F$175,1)/12,1.5*Assumptions!AA$202)-1.1*Assumptions!AA$202)+Assumptions!AA$210*MAX(0,Assumptions!$D$80*IF(Assumptions!AA$191=2027,1+Assumptions!$F$175,1)/12-1.5*Assumptions!AA$202)))</f>
        <v>1659.39344262222</v>
      </c>
      <c r="AB77" s="65" t="n">
        <f aca="false">AB13*(MIN(Assumptions!$D$80*IF(Assumptions!AB$191=2027,1+Assumptions!$F$175,1)/12,Assumptions!AB$202)*Assumptions!AB$204+(Assumptions!AB$206*MAX(0,MIN(Assumptions!$D$80*IF(Assumptions!AB$191=2027,1+Assumptions!$F$175,1)/12,1.1*Assumptions!AB$202)-Assumptions!AB$202)+Assumptions!AB$208*MAX(0,MIN(Assumptions!$D$80*IF(Assumptions!AB$191=2027,1+Assumptions!$F$175,1)/12,1.5*Assumptions!AB$202)-1.1*Assumptions!AB$202)+Assumptions!AB$210*MAX(0,Assumptions!$D$80*IF(Assumptions!AB$191=2027,1+Assumptions!$F$175,1)/12-1.5*Assumptions!AB$202)))</f>
        <v>1659.39344262286</v>
      </c>
    </row>
    <row r="78" customFormat="false" ht="15" hidden="false" customHeight="false" outlineLevel="0" collapsed="false">
      <c r="A78" s="28" t="s">
        <v>1127</v>
      </c>
      <c r="B78" s="63"/>
      <c r="C78" s="64" t="n">
        <f aca="false">SUM(E78:P78)</f>
        <v>8344.62575930146</v>
      </c>
      <c r="D78" s="64" t="n">
        <f aca="false">SUM(Q78:AB78)</f>
        <v>8562.47052654273</v>
      </c>
      <c r="E78" s="65" t="n">
        <f aca="false">E14*(MIN(Assumptions!$D$81*IF(Assumptions!E$191=2027,1+Assumptions!$F$175,1)/12,Assumptions!E$202)*Assumptions!E$204+(Assumptions!E$206*MAX(0,MIN(Assumptions!$D$81*IF(Assumptions!E$191=2027,1+Assumptions!$F$175,1)/12,1.1*Assumptions!E$202)-Assumptions!E$202)+Assumptions!E$208*MAX(0,MIN(Assumptions!$D$81*IF(Assumptions!E$191=2027,1+Assumptions!$F$175,1)/12,1.5*Assumptions!E$202)-1.1*Assumptions!E$202)+Assumptions!E$210*MAX(0,Assumptions!$D$81*IF(Assumptions!E$191=2027,1+Assumptions!$F$175,1)/12-1.5*Assumptions!E$202)))</f>
        <v>698.75</v>
      </c>
      <c r="F78" s="65" t="n">
        <f aca="false">F14*(MIN(Assumptions!$D$81*IF(Assumptions!F$191=2027,1+Assumptions!$F$175,1)/12,Assumptions!F$202)*Assumptions!F$204+(Assumptions!F$206*MAX(0,MIN(Assumptions!$D$81*IF(Assumptions!F$191=2027,1+Assumptions!$F$175,1)/12,1.1*Assumptions!F$202)-Assumptions!F$202)+Assumptions!F$208*MAX(0,MIN(Assumptions!$D$81*IF(Assumptions!F$191=2027,1+Assumptions!$F$175,1)/12,1.5*Assumptions!F$202)-1.1*Assumptions!F$202)+Assumptions!F$210*MAX(0,Assumptions!$D$81*IF(Assumptions!F$191=2027,1+Assumptions!$F$175,1)/12-1.5*Assumptions!F$202)))</f>
        <v>698.75</v>
      </c>
      <c r="G78" s="65" t="n">
        <f aca="false">G14*(MIN(Assumptions!$D$81*IF(Assumptions!G$191=2027,1+Assumptions!$F$175,1)/12,Assumptions!G$202)*Assumptions!G$204+(Assumptions!G$206*MAX(0,MIN(Assumptions!$D$81*IF(Assumptions!G$191=2027,1+Assumptions!$F$175,1)/12,1.1*Assumptions!G$202)-Assumptions!G$202)+Assumptions!G$208*MAX(0,MIN(Assumptions!$D$81*IF(Assumptions!G$191=2027,1+Assumptions!$F$175,1)/12,1.5*Assumptions!G$202)-1.1*Assumptions!G$202)+Assumptions!G$210*MAX(0,Assumptions!$D$81*IF(Assumptions!G$191=2027,1+Assumptions!$F$175,1)/12-1.5*Assumptions!G$202)))</f>
        <v>698.75</v>
      </c>
      <c r="H78" s="65" t="n">
        <f aca="false">H14*(MIN(Assumptions!$D$81*IF(Assumptions!H$191=2027,1+Assumptions!$F$175,1)/12,Assumptions!H$202)*Assumptions!H$204+(Assumptions!H$206*MAX(0,MIN(Assumptions!$D$81*IF(Assumptions!H$191=2027,1+Assumptions!$F$175,1)/12,1.1*Assumptions!H$202)-Assumptions!H$202)+Assumptions!H$208*MAX(0,MIN(Assumptions!$D$81*IF(Assumptions!H$191=2027,1+Assumptions!$F$175,1)/12,1.5*Assumptions!H$202)-1.1*Assumptions!H$202)+Assumptions!H$210*MAX(0,Assumptions!$D$81*IF(Assumptions!H$191=2027,1+Assumptions!$F$175,1)/12-1.5*Assumptions!H$202)))</f>
        <v>698.75</v>
      </c>
      <c r="I78" s="65" t="n">
        <f aca="false">I14*(MIN(Assumptions!$D$81*IF(Assumptions!I$191=2027,1+Assumptions!$F$175,1)/12,Assumptions!I$202)*Assumptions!I$204+(Assumptions!I$206*MAX(0,MIN(Assumptions!$D$81*IF(Assumptions!I$191=2027,1+Assumptions!$F$175,1)/12,1.1*Assumptions!I$202)-Assumptions!I$202)+Assumptions!I$208*MAX(0,MIN(Assumptions!$D$81*IF(Assumptions!I$191=2027,1+Assumptions!$F$175,1)/12,1.5*Assumptions!I$202)-1.1*Assumptions!I$202)+Assumptions!I$210*MAX(0,Assumptions!$D$81*IF(Assumptions!I$191=2027,1+Assumptions!$F$175,1)/12-1.5*Assumptions!I$202)))</f>
        <v>698.75</v>
      </c>
      <c r="J78" s="65" t="n">
        <f aca="false">J14*(MIN(Assumptions!$D$81*IF(Assumptions!J$191=2027,1+Assumptions!$F$175,1)/12,Assumptions!J$202)*Assumptions!J$204+(Assumptions!J$206*MAX(0,MIN(Assumptions!$D$81*IF(Assumptions!J$191=2027,1+Assumptions!$F$175,1)/12,1.1*Assumptions!J$202)-Assumptions!J$202)+Assumptions!J$208*MAX(0,MIN(Assumptions!$D$81*IF(Assumptions!J$191=2027,1+Assumptions!$F$175,1)/12,1.5*Assumptions!J$202)-1.1*Assumptions!J$202)+Assumptions!J$210*MAX(0,Assumptions!$D$81*IF(Assumptions!J$191=2027,1+Assumptions!$F$175,1)/12-1.5*Assumptions!J$202)))</f>
        <v>698.75</v>
      </c>
      <c r="K78" s="65" t="n">
        <f aca="false">K14*(MIN(Assumptions!$D$81*IF(Assumptions!K$191=2027,1+Assumptions!$F$175,1)/12,Assumptions!K$202)*Assumptions!K$204+(Assumptions!K$206*MAX(0,MIN(Assumptions!$D$81*IF(Assumptions!K$191=2027,1+Assumptions!$F$175,1)/12,1.1*Assumptions!K$202)-Assumptions!K$202)+Assumptions!K$208*MAX(0,MIN(Assumptions!$D$81*IF(Assumptions!K$191=2027,1+Assumptions!$F$175,1)/12,1.5*Assumptions!K$202)-1.1*Assumptions!K$202)+Assumptions!K$210*MAX(0,Assumptions!$D$81*IF(Assumptions!K$191=2027,1+Assumptions!$F$175,1)/12-1.5*Assumptions!K$202)))</f>
        <v>698.75</v>
      </c>
      <c r="L78" s="65" t="n">
        <f aca="false">L14*(MIN(Assumptions!$D$81*IF(Assumptions!L$191=2027,1+Assumptions!$F$175,1)/12,Assumptions!L$202)*Assumptions!L$204+(Assumptions!L$206*MAX(0,MIN(Assumptions!$D$81*IF(Assumptions!L$191=2027,1+Assumptions!$F$175,1)/12,1.1*Assumptions!L$202)-Assumptions!L$202)+Assumptions!L$208*MAX(0,MIN(Assumptions!$D$81*IF(Assumptions!L$191=2027,1+Assumptions!$F$175,1)/12,1.5*Assumptions!L$202)-1.1*Assumptions!L$202)+Assumptions!L$210*MAX(0,Assumptions!$D$81*IF(Assumptions!L$191=2027,1+Assumptions!$F$175,1)/12-1.5*Assumptions!L$202)))</f>
        <v>698.75</v>
      </c>
      <c r="M78" s="65" t="n">
        <f aca="false">M14*(MIN(Assumptions!$D$81*IF(Assumptions!M$191=2027,1+Assumptions!$F$175,1)/12,Assumptions!M$202)*Assumptions!M$204+(Assumptions!M$206*MAX(0,MIN(Assumptions!$D$81*IF(Assumptions!M$191=2027,1+Assumptions!$F$175,1)/12,1.1*Assumptions!M$202)-Assumptions!M$202)+Assumptions!M$208*MAX(0,MIN(Assumptions!$D$81*IF(Assumptions!M$191=2027,1+Assumptions!$F$175,1)/12,1.5*Assumptions!M$202)-1.1*Assumptions!M$202)+Assumptions!M$210*MAX(0,Assumptions!$D$81*IF(Assumptions!M$191=2027,1+Assumptions!$F$175,1)/12-1.5*Assumptions!M$202)))</f>
        <v>692.927083333333</v>
      </c>
      <c r="N78" s="65" t="n">
        <f aca="false">N14*(MIN(Assumptions!$D$81*IF(Assumptions!N$191=2027,1+Assumptions!$F$175,1)/12,Assumptions!N$202)*Assumptions!N$204+(Assumptions!N$206*MAX(0,MIN(Assumptions!$D$81*IF(Assumptions!N$191=2027,1+Assumptions!$F$175,1)/12,1.1*Assumptions!N$202)-Assumptions!N$202)+Assumptions!N$208*MAX(0,MIN(Assumptions!$D$81*IF(Assumptions!N$191=2027,1+Assumptions!$F$175,1)/12,1.5*Assumptions!N$202)-1.1*Assumptions!N$202)+Assumptions!N$210*MAX(0,Assumptions!$D$81*IF(Assumptions!N$191=2027,1+Assumptions!$F$175,1)/12-1.5*Assumptions!N$202)))</f>
        <v>687.152690972222</v>
      </c>
      <c r="O78" s="65" t="n">
        <f aca="false">O14*(MIN(Assumptions!$D$81*IF(Assumptions!O$191=2027,1+Assumptions!$F$175,1)/12,Assumptions!O$202)*Assumptions!O$204+(Assumptions!O$206*MAX(0,MIN(Assumptions!$D$81*IF(Assumptions!O$191=2027,1+Assumptions!$F$175,1)/12,1.1*Assumptions!O$202)-Assumptions!O$202)+Assumptions!O$208*MAX(0,MIN(Assumptions!$D$81*IF(Assumptions!O$191=2027,1+Assumptions!$F$175,1)/12,1.5*Assumptions!O$202)-1.1*Assumptions!O$202)+Assumptions!O$210*MAX(0,Assumptions!$D$81*IF(Assumptions!O$191=2027,1+Assumptions!$F$175,1)/12-1.5*Assumptions!O$202)))</f>
        <v>687.24933521412</v>
      </c>
      <c r="P78" s="65" t="n">
        <f aca="false">P14*(MIN(Assumptions!$D$81*IF(Assumptions!P$191=2027,1+Assumptions!$F$175,1)/12,Assumptions!P$202)*Assumptions!P$204+(Assumptions!P$206*MAX(0,MIN(Assumptions!$D$81*IF(Assumptions!P$191=2027,1+Assumptions!$F$175,1)/12,1.1*Assumptions!P$202)-Assumptions!P$202)+Assumptions!P$208*MAX(0,MIN(Assumptions!$D$81*IF(Assumptions!P$191=2027,1+Assumptions!$F$175,1)/12,1.5*Assumptions!P$202)-1.1*Assumptions!P$202)+Assumptions!P$210*MAX(0,Assumptions!$D$81*IF(Assumptions!P$191=2027,1+Assumptions!$F$175,1)/12-1.5*Assumptions!P$202)))</f>
        <v>687.296649781781</v>
      </c>
      <c r="Q78" s="65" t="n">
        <f aca="false">Q14*(MIN(Assumptions!$D$81*IF(Assumptions!Q$191=2027,1+Assumptions!$F$175,1)/12,Assumptions!Q$202)*Assumptions!Q$204+(Assumptions!Q$206*MAX(0,MIN(Assumptions!$D$81*IF(Assumptions!Q$191=2027,1+Assumptions!$F$175,1)/12,1.1*Assumptions!Q$202)-Assumptions!Q$202)+Assumptions!Q$208*MAX(0,MIN(Assumptions!$D$81*IF(Assumptions!Q$191=2027,1+Assumptions!$F$175,1)/12,1.5*Assumptions!Q$202)-1.1*Assumptions!Q$202)+Assumptions!Q$210*MAX(0,Assumptions!$D$81*IF(Assumptions!Q$191=2027,1+Assumptions!$F$175,1)/12-1.5*Assumptions!Q$202)))</f>
        <v>713.539562543655</v>
      </c>
      <c r="R78" s="65" t="n">
        <f aca="false">R14*(MIN(Assumptions!$D$81*IF(Assumptions!R$191=2027,1+Assumptions!$F$175,1)/12,Assumptions!R$202)*Assumptions!R$204+(Assumptions!R$206*MAX(0,MIN(Assumptions!$D$81*IF(Assumptions!R$191=2027,1+Assumptions!$F$175,1)/12,1.1*Assumptions!R$202)-Assumptions!R$202)+Assumptions!R$208*MAX(0,MIN(Assumptions!$D$81*IF(Assumptions!R$191=2027,1+Assumptions!$F$175,1)/12,1.5*Assumptions!R$202)-1.1*Assumptions!R$202)+Assumptions!R$210*MAX(0,Assumptions!$D$81*IF(Assumptions!R$191=2027,1+Assumptions!$F$175,1)/12-1.5*Assumptions!R$202)))</f>
        <v>713.539163578729</v>
      </c>
      <c r="S78" s="65" t="n">
        <f aca="false">S14*(MIN(Assumptions!$D$81*IF(Assumptions!S$191=2027,1+Assumptions!$F$175,1)/12,Assumptions!S$202)*Assumptions!S$204+(Assumptions!S$206*MAX(0,MIN(Assumptions!$D$81*IF(Assumptions!S$191=2027,1+Assumptions!$F$175,1)/12,1.1*Assumptions!S$202)-Assumptions!S$202)+Assumptions!S$208*MAX(0,MIN(Assumptions!$D$81*IF(Assumptions!S$191=2027,1+Assumptions!$F$175,1)/12,1.5*Assumptions!S$202)-1.1*Assumptions!S$202)+Assumptions!S$210*MAX(0,Assumptions!$D$81*IF(Assumptions!S$191=2027,1+Assumptions!$F$175,1)/12-1.5*Assumptions!S$202)))</f>
        <v>713.539177282313</v>
      </c>
      <c r="T78" s="65" t="n">
        <f aca="false">T14*(MIN(Assumptions!$D$81*IF(Assumptions!T$191=2027,1+Assumptions!$F$175,1)/12,Assumptions!T$202)*Assumptions!T$204+(Assumptions!T$206*MAX(0,MIN(Assumptions!$D$81*IF(Assumptions!T$191=2027,1+Assumptions!$F$175,1)/12,1.1*Assumptions!T$202)-Assumptions!T$202)+Assumptions!T$208*MAX(0,MIN(Assumptions!$D$81*IF(Assumptions!T$191=2027,1+Assumptions!$F$175,1)/12,1.5*Assumptions!T$202)-1.1*Assumptions!T$202)+Assumptions!T$210*MAX(0,Assumptions!$D$81*IF(Assumptions!T$191=2027,1+Assumptions!$F$175,1)/12-1.5*Assumptions!T$202)))</f>
        <v>713.539180492825</v>
      </c>
      <c r="U78" s="65" t="n">
        <f aca="false">U14*(MIN(Assumptions!$D$81*IF(Assumptions!U$191=2027,1+Assumptions!$F$175,1)/12,Assumptions!U$202)*Assumptions!U$204+(Assumptions!U$206*MAX(0,MIN(Assumptions!$D$81*IF(Assumptions!U$191=2027,1+Assumptions!$F$175,1)/12,1.1*Assumptions!U$202)-Assumptions!U$202)+Assumptions!U$208*MAX(0,MIN(Assumptions!$D$81*IF(Assumptions!U$191=2027,1+Assumptions!$F$175,1)/12,1.5*Assumptions!U$202)-1.1*Assumptions!U$202)+Assumptions!U$210*MAX(0,Assumptions!$D$81*IF(Assumptions!U$191=2027,1+Assumptions!$F$175,1)/12-1.5*Assumptions!U$202)))</f>
        <v>713.539180351874</v>
      </c>
      <c r="V78" s="65" t="n">
        <f aca="false">V14*(MIN(Assumptions!$D$81*IF(Assumptions!V$191=2027,1+Assumptions!$F$175,1)/12,Assumptions!V$202)*Assumptions!V$204+(Assumptions!V$206*MAX(0,MIN(Assumptions!$D$81*IF(Assumptions!V$191=2027,1+Assumptions!$F$175,1)/12,1.1*Assumptions!V$202)-Assumptions!V$202)+Assumptions!V$208*MAX(0,MIN(Assumptions!$D$81*IF(Assumptions!V$191=2027,1+Assumptions!$F$175,1)/12,1.5*Assumptions!V$202)-1.1*Assumptions!V$202)+Assumptions!V$210*MAX(0,Assumptions!$D$81*IF(Assumptions!V$191=2027,1+Assumptions!$F$175,1)/12-1.5*Assumptions!V$202)))</f>
        <v>713.539180326294</v>
      </c>
      <c r="W78" s="65" t="n">
        <f aca="false">W14*(MIN(Assumptions!$D$81*IF(Assumptions!W$191=2027,1+Assumptions!$F$175,1)/12,Assumptions!W$202)*Assumptions!W$204+(Assumptions!W$206*MAX(0,MIN(Assumptions!$D$81*IF(Assumptions!W$191=2027,1+Assumptions!$F$175,1)/12,1.1*Assumptions!W$202)-Assumptions!W$202)+Assumptions!W$208*MAX(0,MIN(Assumptions!$D$81*IF(Assumptions!W$191=2027,1+Assumptions!$F$175,1)/12,1.5*Assumptions!W$202)-1.1*Assumptions!W$202)+Assumptions!W$210*MAX(0,Assumptions!$D$81*IF(Assumptions!W$191=2027,1+Assumptions!$F$175,1)/12-1.5*Assumptions!W$202)))</f>
        <v>713.539180327682</v>
      </c>
      <c r="X78" s="65" t="n">
        <f aca="false">X14*(MIN(Assumptions!$D$81*IF(Assumptions!X$191=2027,1+Assumptions!$F$175,1)/12,Assumptions!X$202)*Assumptions!X$204+(Assumptions!X$206*MAX(0,MIN(Assumptions!$D$81*IF(Assumptions!X$191=2027,1+Assumptions!$F$175,1)/12,1.1*Assumptions!X$202)-Assumptions!X$202)+Assumptions!X$208*MAX(0,MIN(Assumptions!$D$81*IF(Assumptions!X$191=2027,1+Assumptions!$F$175,1)/12,1.5*Assumptions!X$202)-1.1*Assumptions!X$202)+Assumptions!X$210*MAX(0,Assumptions!$D$81*IF(Assumptions!X$191=2027,1+Assumptions!$F$175,1)/12-1.5*Assumptions!X$202)))</f>
        <v>713.539180327884</v>
      </c>
      <c r="Y78" s="65" t="n">
        <f aca="false">Y14*(MIN(Assumptions!$D$81*IF(Assumptions!Y$191=2027,1+Assumptions!$F$175,1)/12,Assumptions!Y$202)*Assumptions!Y$204+(Assumptions!Y$206*MAX(0,MIN(Assumptions!$D$81*IF(Assumptions!Y$191=2027,1+Assumptions!$F$175,1)/12,1.1*Assumptions!Y$202)-Assumptions!Y$202)+Assumptions!Y$208*MAX(0,MIN(Assumptions!$D$81*IF(Assumptions!Y$191=2027,1+Assumptions!$F$175,1)/12,1.5*Assumptions!Y$202)-1.1*Assumptions!Y$202)+Assumptions!Y$210*MAX(0,Assumptions!$D$81*IF(Assumptions!Y$191=2027,1+Assumptions!$F$175,1)/12-1.5*Assumptions!Y$202)))</f>
        <v>713.53918032787</v>
      </c>
      <c r="Z78" s="65" t="n">
        <f aca="false">Z14*(MIN(Assumptions!$D$81*IF(Assumptions!Z$191=2027,1+Assumptions!$F$175,1)/12,Assumptions!Z$202)*Assumptions!Z$204+(Assumptions!Z$206*MAX(0,MIN(Assumptions!$D$81*IF(Assumptions!Z$191=2027,1+Assumptions!$F$175,1)/12,1.1*Assumptions!Z$202)-Assumptions!Z$202)+Assumptions!Z$208*MAX(0,MIN(Assumptions!$D$81*IF(Assumptions!Z$191=2027,1+Assumptions!$F$175,1)/12,1.5*Assumptions!Z$202)-1.1*Assumptions!Z$202)+Assumptions!Z$210*MAX(0,Assumptions!$D$81*IF(Assumptions!Z$191=2027,1+Assumptions!$F$175,1)/12-1.5*Assumptions!Z$202)))</f>
        <v>713.539180327869</v>
      </c>
      <c r="AA78" s="65" t="n">
        <f aca="false">AA14*(MIN(Assumptions!$D$81*IF(Assumptions!AA$191=2027,1+Assumptions!$F$175,1)/12,Assumptions!AA$202)*Assumptions!AA$204+(Assumptions!AA$206*MAX(0,MIN(Assumptions!$D$81*IF(Assumptions!AA$191=2027,1+Assumptions!$F$175,1)/12,1.1*Assumptions!AA$202)-Assumptions!AA$202)+Assumptions!AA$208*MAX(0,MIN(Assumptions!$D$81*IF(Assumptions!AA$191=2027,1+Assumptions!$F$175,1)/12,1.5*Assumptions!AA$202)-1.1*Assumptions!AA$202)+Assumptions!AA$210*MAX(0,Assumptions!$D$81*IF(Assumptions!AA$191=2027,1+Assumptions!$F$175,1)/12-1.5*Assumptions!AA$202)))</f>
        <v>713.539180327869</v>
      </c>
      <c r="AB78" s="65" t="n">
        <f aca="false">AB14*(MIN(Assumptions!$D$81*IF(Assumptions!AB$191=2027,1+Assumptions!$F$175,1)/12,Assumptions!AB$202)*Assumptions!AB$204+(Assumptions!AB$206*MAX(0,MIN(Assumptions!$D$81*IF(Assumptions!AB$191=2027,1+Assumptions!$F$175,1)/12,1.1*Assumptions!AB$202)-Assumptions!AB$202)+Assumptions!AB$208*MAX(0,MIN(Assumptions!$D$81*IF(Assumptions!AB$191=2027,1+Assumptions!$F$175,1)/12,1.5*Assumptions!AB$202)-1.1*Assumptions!AB$202)+Assumptions!AB$210*MAX(0,Assumptions!$D$81*IF(Assumptions!AB$191=2027,1+Assumptions!$F$175,1)/12-1.5*Assumptions!AB$202)))</f>
        <v>713.539180327869</v>
      </c>
    </row>
    <row r="79" customFormat="false" ht="15" hidden="false" customHeight="false" outlineLevel="0" collapsed="false">
      <c r="A79" s="28" t="s">
        <v>1128</v>
      </c>
      <c r="B79" s="63"/>
      <c r="C79" s="64" t="n">
        <f aca="false">SUM(E79:P79)</f>
        <v>14312.1348232693</v>
      </c>
      <c r="D79" s="64" t="n">
        <f aca="false">SUM(Q79:AB79)</f>
        <v>15459.4318380469</v>
      </c>
      <c r="E79" s="65" t="n">
        <f aca="false">E15*(MIN(Assumptions!$D$82*IF(Assumptions!E$191=2027,1+Assumptions!$F$175,1)/12,Assumptions!E$202)*Assumptions!E$204+(Assumptions!E$206*MAX(0,MIN(Assumptions!$D$82*IF(Assumptions!E$191=2027,1+Assumptions!$F$175,1)/12,1.1*Assumptions!E$202)-Assumptions!E$202)+Assumptions!E$208*MAX(0,MIN(Assumptions!$D$82*IF(Assumptions!E$191=2027,1+Assumptions!$F$175,1)/12,1.5*Assumptions!E$202)-1.1*Assumptions!E$202)+Assumptions!E$210*MAX(0,Assumptions!$D$82*IF(Assumptions!E$191=2027,1+Assumptions!$F$175,1)/12-1.5*Assumptions!E$202)))</f>
        <v>1170</v>
      </c>
      <c r="F79" s="65" t="n">
        <f aca="false">F15*(MIN(Assumptions!$D$82*IF(Assumptions!F$191=2027,1+Assumptions!$F$175,1)/12,Assumptions!F$202)*Assumptions!F$204+(Assumptions!F$206*MAX(0,MIN(Assumptions!$D$82*IF(Assumptions!F$191=2027,1+Assumptions!$F$175,1)/12,1.1*Assumptions!F$202)-Assumptions!F$202)+Assumptions!F$208*MAX(0,MIN(Assumptions!$D$82*IF(Assumptions!F$191=2027,1+Assumptions!$F$175,1)/12,1.5*Assumptions!F$202)-1.1*Assumptions!F$202)+Assumptions!F$210*MAX(0,Assumptions!$D$82*IF(Assumptions!F$191=2027,1+Assumptions!$F$175,1)/12-1.5*Assumptions!F$202)))</f>
        <v>1170</v>
      </c>
      <c r="G79" s="65" t="n">
        <f aca="false">G15*(MIN(Assumptions!$D$82*IF(Assumptions!G$191=2027,1+Assumptions!$F$175,1)/12,Assumptions!G$202)*Assumptions!G$204+(Assumptions!G$206*MAX(0,MIN(Assumptions!$D$82*IF(Assumptions!G$191=2027,1+Assumptions!$F$175,1)/12,1.1*Assumptions!G$202)-Assumptions!G$202)+Assumptions!G$208*MAX(0,MIN(Assumptions!$D$82*IF(Assumptions!G$191=2027,1+Assumptions!$F$175,1)/12,1.5*Assumptions!G$202)-1.1*Assumptions!G$202)+Assumptions!G$210*MAX(0,Assumptions!$D$82*IF(Assumptions!G$191=2027,1+Assumptions!$F$175,1)/12-1.5*Assumptions!G$202)))</f>
        <v>1170</v>
      </c>
      <c r="H79" s="65" t="n">
        <f aca="false">H15*(MIN(Assumptions!$D$82*IF(Assumptions!H$191=2027,1+Assumptions!$F$175,1)/12,Assumptions!H$202)*Assumptions!H$204+(Assumptions!H$206*MAX(0,MIN(Assumptions!$D$82*IF(Assumptions!H$191=2027,1+Assumptions!$F$175,1)/12,1.1*Assumptions!H$202)-Assumptions!H$202)+Assumptions!H$208*MAX(0,MIN(Assumptions!$D$82*IF(Assumptions!H$191=2027,1+Assumptions!$F$175,1)/12,1.5*Assumptions!H$202)-1.1*Assumptions!H$202)+Assumptions!H$210*MAX(0,Assumptions!$D$82*IF(Assumptions!H$191=2027,1+Assumptions!$F$175,1)/12-1.5*Assumptions!H$202)))</f>
        <v>1170</v>
      </c>
      <c r="I79" s="65" t="n">
        <f aca="false">I15*(MIN(Assumptions!$D$82*IF(Assumptions!I$191=2027,1+Assumptions!$F$175,1)/12,Assumptions!I$202)*Assumptions!I$204+(Assumptions!I$206*MAX(0,MIN(Assumptions!$D$82*IF(Assumptions!I$191=2027,1+Assumptions!$F$175,1)/12,1.1*Assumptions!I$202)-Assumptions!I$202)+Assumptions!I$208*MAX(0,MIN(Assumptions!$D$82*IF(Assumptions!I$191=2027,1+Assumptions!$F$175,1)/12,1.5*Assumptions!I$202)-1.1*Assumptions!I$202)+Assumptions!I$210*MAX(0,Assumptions!$D$82*IF(Assumptions!I$191=2027,1+Assumptions!$F$175,1)/12-1.5*Assumptions!I$202)))</f>
        <v>1316.25</v>
      </c>
      <c r="J79" s="65" t="n">
        <f aca="false">J15*(MIN(Assumptions!$D$82*IF(Assumptions!J$191=2027,1+Assumptions!$F$175,1)/12,Assumptions!J$202)*Assumptions!J$204+(Assumptions!J$206*MAX(0,MIN(Assumptions!$D$82*IF(Assumptions!J$191=2027,1+Assumptions!$F$175,1)/12,1.1*Assumptions!J$202)-Assumptions!J$202)+Assumptions!J$208*MAX(0,MIN(Assumptions!$D$82*IF(Assumptions!J$191=2027,1+Assumptions!$F$175,1)/12,1.5*Assumptions!J$202)-1.1*Assumptions!J$202)+Assumptions!J$210*MAX(0,Assumptions!$D$82*IF(Assumptions!J$191=2027,1+Assumptions!$F$175,1)/12-1.5*Assumptions!J$202)))</f>
        <v>1316.25</v>
      </c>
      <c r="K79" s="65" t="n">
        <f aca="false">K15*(MIN(Assumptions!$D$82*IF(Assumptions!K$191=2027,1+Assumptions!$F$175,1)/12,Assumptions!K$202)*Assumptions!K$204+(Assumptions!K$206*MAX(0,MIN(Assumptions!$D$82*IF(Assumptions!K$191=2027,1+Assumptions!$F$175,1)/12,1.1*Assumptions!K$202)-Assumptions!K$202)+Assumptions!K$208*MAX(0,MIN(Assumptions!$D$82*IF(Assumptions!K$191=2027,1+Assumptions!$F$175,1)/12,1.5*Assumptions!K$202)-1.1*Assumptions!K$202)+Assumptions!K$210*MAX(0,Assumptions!$D$82*IF(Assumptions!K$191=2027,1+Assumptions!$F$175,1)/12-1.5*Assumptions!K$202)))</f>
        <v>1316.25</v>
      </c>
      <c r="L79" s="65" t="n">
        <f aca="false">L15*(MIN(Assumptions!$D$82*IF(Assumptions!L$191=2027,1+Assumptions!$F$175,1)/12,Assumptions!L$202)*Assumptions!L$204+(Assumptions!L$206*MAX(0,MIN(Assumptions!$D$82*IF(Assumptions!L$191=2027,1+Assumptions!$F$175,1)/12,1.1*Assumptions!L$202)-Assumptions!L$202)+Assumptions!L$208*MAX(0,MIN(Assumptions!$D$82*IF(Assumptions!L$191=2027,1+Assumptions!$F$175,1)/12,1.5*Assumptions!L$202)-1.1*Assumptions!L$202)+Assumptions!L$210*MAX(0,Assumptions!$D$82*IF(Assumptions!L$191=2027,1+Assumptions!$F$175,1)/12-1.5*Assumptions!L$202)))</f>
        <v>1170</v>
      </c>
      <c r="M79" s="65" t="n">
        <f aca="false">M15*(MIN(Assumptions!$D$82*IF(Assumptions!M$191=2027,1+Assumptions!$F$175,1)/12,Assumptions!M$202)*Assumptions!M$204+(Assumptions!M$206*MAX(0,MIN(Assumptions!$D$82*IF(Assumptions!M$191=2027,1+Assumptions!$F$175,1)/12,1.1*Assumptions!M$202)-Assumptions!M$202)+Assumptions!M$208*MAX(0,MIN(Assumptions!$D$82*IF(Assumptions!M$191=2027,1+Assumptions!$F$175,1)/12,1.5*Assumptions!M$202)-1.1*Assumptions!M$202)+Assumptions!M$210*MAX(0,Assumptions!$D$82*IF(Assumptions!M$191=2027,1+Assumptions!$F$175,1)/12-1.5*Assumptions!M$202)))</f>
        <v>1145.625</v>
      </c>
      <c r="N79" s="65" t="n">
        <f aca="false">N15*(MIN(Assumptions!$D$82*IF(Assumptions!N$191=2027,1+Assumptions!$F$175,1)/12,Assumptions!N$202)*Assumptions!N$204+(Assumptions!N$206*MAX(0,MIN(Assumptions!$D$82*IF(Assumptions!N$191=2027,1+Assumptions!$F$175,1)/12,1.1*Assumptions!N$202)-Assumptions!N$202)+Assumptions!N$208*MAX(0,MIN(Assumptions!$D$82*IF(Assumptions!N$191=2027,1+Assumptions!$F$175,1)/12,1.5*Assumptions!N$202)-1.1*Assumptions!N$202)+Assumptions!N$210*MAX(0,Assumptions!$D$82*IF(Assumptions!N$191=2027,1+Assumptions!$F$175,1)/12-1.5*Assumptions!N$202)))</f>
        <v>1121.7578125</v>
      </c>
      <c r="O79" s="65" t="n">
        <f aca="false">O15*(MIN(Assumptions!$D$82*IF(Assumptions!O$191=2027,1+Assumptions!$F$175,1)/12,Assumptions!O$202)*Assumptions!O$204+(Assumptions!O$206*MAX(0,MIN(Assumptions!$D$82*IF(Assumptions!O$191=2027,1+Assumptions!$F$175,1)/12,1.1*Assumptions!O$202)-Assumptions!O$202)+Assumptions!O$208*MAX(0,MIN(Assumptions!$D$82*IF(Assumptions!O$191=2027,1+Assumptions!$F$175,1)/12,1.5*Assumptions!O$202)-1.1*Assumptions!O$202)+Assumptions!O$210*MAX(0,Assumptions!$D$82*IF(Assumptions!O$191=2027,1+Assumptions!$F$175,1)/12-1.5*Assumptions!O$202)))</f>
        <v>1122.76285807292</v>
      </c>
      <c r="P79" s="65" t="n">
        <f aca="false">P15*(MIN(Assumptions!$D$82*IF(Assumptions!P$191=2027,1+Assumptions!$F$175,1)/12,Assumptions!P$202)*Assumptions!P$204+(Assumptions!P$206*MAX(0,MIN(Assumptions!$D$82*IF(Assumptions!P$191=2027,1+Assumptions!$F$175,1)/12,1.1*Assumptions!P$202)-Assumptions!P$202)+Assumptions!P$208*MAX(0,MIN(Assumptions!$D$82*IF(Assumptions!P$191=2027,1+Assumptions!$F$175,1)/12,1.5*Assumptions!P$202)-1.1*Assumptions!P$202)+Assumptions!P$210*MAX(0,Assumptions!$D$82*IF(Assumptions!P$191=2027,1+Assumptions!$F$175,1)/12-1.5*Assumptions!P$202)))</f>
        <v>1123.2391526964</v>
      </c>
      <c r="Q79" s="65" t="n">
        <f aca="false">Q15*(MIN(Assumptions!$D$82*IF(Assumptions!Q$191=2027,1+Assumptions!$F$175,1)/12,Assumptions!Q$202)*Assumptions!Q$204+(Assumptions!Q$206*MAX(0,MIN(Assumptions!$D$82*IF(Assumptions!Q$191=2027,1+Assumptions!$F$175,1)/12,1.1*Assumptions!Q$202)-Assumptions!Q$202)+Assumptions!Q$208*MAX(0,MIN(Assumptions!$D$82*IF(Assumptions!Q$191=2027,1+Assumptions!$F$175,1)/12,1.5*Assumptions!Q$202)-1.1*Assumptions!Q$202)+Assumptions!Q$210*MAX(0,Assumptions!$D$82*IF(Assumptions!Q$191=2027,1+Assumptions!$F$175,1)/12-1.5*Assumptions!Q$202)))</f>
        <v>1166.09756804784</v>
      </c>
      <c r="R79" s="65" t="n">
        <f aca="false">R15*(MIN(Assumptions!$D$82*IF(Assumptions!R$191=2027,1+Assumptions!$F$175,1)/12,Assumptions!R$202)*Assumptions!R$204+(Assumptions!R$206*MAX(0,MIN(Assumptions!$D$82*IF(Assumptions!R$191=2027,1+Assumptions!$F$175,1)/12,1.1*Assumptions!R$202)-Assumptions!R$202)+Assumptions!R$208*MAX(0,MIN(Assumptions!$D$82*IF(Assumptions!R$191=2027,1+Assumptions!$F$175,1)/12,1.5*Assumptions!R$202)-1.1*Assumptions!R$202)+Assumptions!R$210*MAX(0,Assumptions!$D$82*IF(Assumptions!R$191=2027,1+Assumptions!$F$175,1)/12-1.5*Assumptions!R$202)))</f>
        <v>1166.08793383802</v>
      </c>
      <c r="S79" s="65" t="n">
        <f aca="false">S15*(MIN(Assumptions!$D$82*IF(Assumptions!S$191=2027,1+Assumptions!$F$175,1)/12,Assumptions!S$202)*Assumptions!S$204+(Assumptions!S$206*MAX(0,MIN(Assumptions!$D$82*IF(Assumptions!S$191=2027,1+Assumptions!$F$175,1)/12,1.1*Assumptions!S$202)-Assumptions!S$202)+Assumptions!S$208*MAX(0,MIN(Assumptions!$D$82*IF(Assumptions!S$191=2027,1+Assumptions!$F$175,1)/12,1.5*Assumptions!S$202)-1.1*Assumptions!S$202)+Assumptions!S$210*MAX(0,Assumptions!$D$82*IF(Assumptions!S$191=2027,1+Assumptions!$F$175,1)/12-1.5*Assumptions!S$202)))</f>
        <v>1317.92330204404</v>
      </c>
      <c r="T79" s="65" t="n">
        <f aca="false">T15*(MIN(Assumptions!$D$82*IF(Assumptions!T$191=2027,1+Assumptions!$F$175,1)/12,Assumptions!T$202)*Assumptions!T$204+(Assumptions!T$206*MAX(0,MIN(Assumptions!$D$82*IF(Assumptions!T$191=2027,1+Assumptions!$F$175,1)/12,1.1*Assumptions!T$202)-Assumptions!T$202)+Assumptions!T$208*MAX(0,MIN(Assumptions!$D$82*IF(Assumptions!T$191=2027,1+Assumptions!$F$175,1)/12,1.5*Assumptions!T$202)-1.1*Assumptions!T$202)+Assumptions!T$210*MAX(0,Assumptions!$D$82*IF(Assumptions!T$191=2027,1+Assumptions!$F$175,1)/12-1.5*Assumptions!T$202)))</f>
        <v>1314.76026591912</v>
      </c>
      <c r="U79" s="65" t="n">
        <f aca="false">U15*(MIN(Assumptions!$D$82*IF(Assumptions!U$191=2027,1+Assumptions!$F$175,1)/12,Assumptions!U$202)*Assumptions!U$204+(Assumptions!U$206*MAX(0,MIN(Assumptions!$D$82*IF(Assumptions!U$191=2027,1+Assumptions!$F$175,1)/12,1.1*Assumptions!U$202)-Assumptions!U$202)+Assumptions!U$208*MAX(0,MIN(Assumptions!$D$82*IF(Assumptions!U$191=2027,1+Assumptions!$F$175,1)/12,1.5*Assumptions!U$202)-1.1*Assumptions!U$202)+Assumptions!U$210*MAX(0,Assumptions!$D$82*IF(Assumptions!U$191=2027,1+Assumptions!$F$175,1)/12-1.5*Assumptions!U$202)))</f>
        <v>1311.66292566743</v>
      </c>
      <c r="V79" s="65" t="n">
        <f aca="false">V15*(MIN(Assumptions!$D$82*IF(Assumptions!V$191=2027,1+Assumptions!$F$175,1)/12,Assumptions!V$202)*Assumptions!V$204+(Assumptions!V$206*MAX(0,MIN(Assumptions!$D$82*IF(Assumptions!V$191=2027,1+Assumptions!$F$175,1)/12,1.1*Assumptions!V$202)-Assumptions!V$202)+Assumptions!V$208*MAX(0,MIN(Assumptions!$D$82*IF(Assumptions!V$191=2027,1+Assumptions!$F$175,1)/12,1.5*Assumptions!V$202)-1.1*Assumptions!V$202)+Assumptions!V$210*MAX(0,Assumptions!$D$82*IF(Assumptions!V$191=2027,1+Assumptions!$F$175,1)/12-1.5*Assumptions!V$202)))</f>
        <v>1311.79335017528</v>
      </c>
      <c r="W79" s="65" t="n">
        <f aca="false">W15*(MIN(Assumptions!$D$82*IF(Assumptions!W$191=2027,1+Assumptions!$F$175,1)/12,Assumptions!W$202)*Assumptions!W$204+(Assumptions!W$206*MAX(0,MIN(Assumptions!$D$82*IF(Assumptions!W$191=2027,1+Assumptions!$F$175,1)/12,1.1*Assumptions!W$202)-Assumptions!W$202)+Assumptions!W$208*MAX(0,MIN(Assumptions!$D$82*IF(Assumptions!W$191=2027,1+Assumptions!$F$175,1)/12,1.5*Assumptions!W$202)-1.1*Assumptions!W$202)+Assumptions!W$210*MAX(0,Assumptions!$D$82*IF(Assumptions!W$191=2027,1+Assumptions!$F$175,1)/12-1.5*Assumptions!W$202)))</f>
        <v>1311.85516091994</v>
      </c>
      <c r="X79" s="65" t="n">
        <f aca="false">X15*(MIN(Assumptions!$D$82*IF(Assumptions!X$191=2027,1+Assumptions!$F$175,1)/12,Assumptions!X$202)*Assumptions!X$204+(Assumptions!X$206*MAX(0,MIN(Assumptions!$D$82*IF(Assumptions!X$191=2027,1+Assumptions!$F$175,1)/12,1.1*Assumptions!X$202)-Assumptions!X$202)+Assumptions!X$208*MAX(0,MIN(Assumptions!$D$82*IF(Assumptions!X$191=2027,1+Assumptions!$F$175,1)/12,1.5*Assumptions!X$202)-1.1*Assumptions!X$202)+Assumptions!X$210*MAX(0,Assumptions!$D$82*IF(Assumptions!X$191=2027,1+Assumptions!$F$175,1)/12-1.5*Assumptions!X$202)))</f>
        <v>1311.85115601885</v>
      </c>
      <c r="Y79" s="65" t="n">
        <f aca="false">Y15*(MIN(Assumptions!$D$82*IF(Assumptions!Y$191=2027,1+Assumptions!$F$175,1)/12,Assumptions!Y$202)*Assumptions!Y$204+(Assumptions!Y$206*MAX(0,MIN(Assumptions!$D$82*IF(Assumptions!Y$191=2027,1+Assumptions!$F$175,1)/12,1.1*Assumptions!Y$202)-Assumptions!Y$202)+Assumptions!Y$208*MAX(0,MIN(Assumptions!$D$82*IF(Assumptions!Y$191=2027,1+Assumptions!$F$175,1)/12,1.5*Assumptions!Y$202)-1.1*Assumptions!Y$202)+Assumptions!Y$210*MAX(0,Assumptions!$D$82*IF(Assumptions!Y$191=2027,1+Assumptions!$F$175,1)/12-1.5*Assumptions!Y$202)))</f>
        <v>1311.84995173044</v>
      </c>
      <c r="Z79" s="65" t="n">
        <f aca="false">Z15*(MIN(Assumptions!$D$82*IF(Assumptions!Z$191=2027,1+Assumptions!$F$175,1)/12,Assumptions!Z$202)*Assumptions!Z$204+(Assumptions!Z$206*MAX(0,MIN(Assumptions!$D$82*IF(Assumptions!Z$191=2027,1+Assumptions!$F$175,1)/12,1.1*Assumptions!Z$202)-Assumptions!Z$202)+Assumptions!Z$208*MAX(0,MIN(Assumptions!$D$82*IF(Assumptions!Z$191=2027,1+Assumptions!$F$175,1)/12,1.5*Assumptions!Z$202)-1.1*Assumptions!Z$202)+Assumptions!Z$210*MAX(0,Assumptions!$D$82*IF(Assumptions!Z$191=2027,1+Assumptions!$F$175,1)/12-1.5*Assumptions!Z$202)))</f>
        <v>1311.85006025522</v>
      </c>
      <c r="AA79" s="65" t="n">
        <f aca="false">AA15*(MIN(Assumptions!$D$82*IF(Assumptions!AA$191=2027,1+Assumptions!$F$175,1)/12,Assumptions!AA$202)*Assumptions!AA$204+(Assumptions!AA$206*MAX(0,MIN(Assumptions!$D$82*IF(Assumptions!AA$191=2027,1+Assumptions!$F$175,1)/12,1.1*Assumptions!AA$202)-Assumptions!AA$202)+Assumptions!AA$208*MAX(0,MIN(Assumptions!$D$82*IF(Assumptions!AA$191=2027,1+Assumptions!$F$175,1)/12,1.5*Assumptions!AA$202)-1.1*Assumptions!AA$202)+Assumptions!AA$210*MAX(0,Assumptions!$D$82*IF(Assumptions!AA$191=2027,1+Assumptions!$F$175,1)/12-1.5*Assumptions!AA$202)))</f>
        <v>1311.85008308363</v>
      </c>
      <c r="AB79" s="65" t="n">
        <f aca="false">AB15*(MIN(Assumptions!$D$82*IF(Assumptions!AB$191=2027,1+Assumptions!$F$175,1)/12,Assumptions!AB$202)*Assumptions!AB$204+(Assumptions!AB$206*MAX(0,MIN(Assumptions!$D$82*IF(Assumptions!AB$191=2027,1+Assumptions!$F$175,1)/12,1.1*Assumptions!AB$202)-Assumptions!AB$202)+Assumptions!AB$208*MAX(0,MIN(Assumptions!$D$82*IF(Assumptions!AB$191=2027,1+Assumptions!$F$175,1)/12,1.5*Assumptions!AB$202)-1.1*Assumptions!AB$202)+Assumptions!AB$210*MAX(0,Assumptions!$D$82*IF(Assumptions!AB$191=2027,1+Assumptions!$F$175,1)/12-1.5*Assumptions!AB$202)))</f>
        <v>1311.85008034711</v>
      </c>
    </row>
    <row r="80" customFormat="false" ht="15" hidden="false" customHeight="false" outlineLevel="0" collapsed="false">
      <c r="A80" s="28" t="s">
        <v>1129</v>
      </c>
      <c r="B80" s="63"/>
      <c r="C80" s="64" t="n">
        <f aca="false">SUM(E80:P80)</f>
        <v>13725.0226611938</v>
      </c>
      <c r="D80" s="64" t="n">
        <f aca="false">SUM(Q80:AB80)</f>
        <v>16652.988582435</v>
      </c>
      <c r="E80" s="65" t="n">
        <f aca="false">E16*(MIN(Assumptions!$D$83*IF(Assumptions!E$191=2027,1+Assumptions!$F$175,1)/12,Assumptions!E$202)*Assumptions!E$204+(Assumptions!E$206*MAX(0,MIN(Assumptions!$D$83*IF(Assumptions!E$191=2027,1+Assumptions!$F$175,1)/12,1.1*Assumptions!E$202)-Assumptions!E$202)+Assumptions!E$208*MAX(0,MIN(Assumptions!$D$83*IF(Assumptions!E$191=2027,1+Assumptions!$F$175,1)/12,1.5*Assumptions!E$202)-1.1*Assumptions!E$202)+Assumptions!E$210*MAX(0,Assumptions!$D$83*IF(Assumptions!E$191=2027,1+Assumptions!$F$175,1)/12-1.5*Assumptions!E$202)))</f>
        <v>1002.08333333333</v>
      </c>
      <c r="F80" s="65" t="n">
        <f aca="false">F16*(MIN(Assumptions!$D$83*IF(Assumptions!F$191=2027,1+Assumptions!$F$175,1)/12,Assumptions!F$202)*Assumptions!F$204+(Assumptions!F$206*MAX(0,MIN(Assumptions!$D$83*IF(Assumptions!F$191=2027,1+Assumptions!$F$175,1)/12,1.1*Assumptions!F$202)-Assumptions!F$202)+Assumptions!F$208*MAX(0,MIN(Assumptions!$D$83*IF(Assumptions!F$191=2027,1+Assumptions!$F$175,1)/12,1.5*Assumptions!F$202)-1.1*Assumptions!F$202)+Assumptions!F$210*MAX(0,Assumptions!$D$83*IF(Assumptions!F$191=2027,1+Assumptions!$F$175,1)/12-1.5*Assumptions!F$202)))</f>
        <v>1002.08333333333</v>
      </c>
      <c r="G80" s="65" t="n">
        <f aca="false">G16*(MIN(Assumptions!$D$83*IF(Assumptions!G$191=2027,1+Assumptions!$F$175,1)/12,Assumptions!G$202)*Assumptions!G$204+(Assumptions!G$206*MAX(0,MIN(Assumptions!$D$83*IF(Assumptions!G$191=2027,1+Assumptions!$F$175,1)/12,1.1*Assumptions!G$202)-Assumptions!G$202)+Assumptions!G$208*MAX(0,MIN(Assumptions!$D$83*IF(Assumptions!G$191=2027,1+Assumptions!$F$175,1)/12,1.5*Assumptions!G$202)-1.1*Assumptions!G$202)+Assumptions!G$210*MAX(0,Assumptions!$D$83*IF(Assumptions!G$191=2027,1+Assumptions!$F$175,1)/12-1.5*Assumptions!G$202)))</f>
        <v>1002.08333333333</v>
      </c>
      <c r="H80" s="65" t="n">
        <f aca="false">H16*(MIN(Assumptions!$D$83*IF(Assumptions!H$191=2027,1+Assumptions!$F$175,1)/12,Assumptions!H$202)*Assumptions!H$204+(Assumptions!H$206*MAX(0,MIN(Assumptions!$D$83*IF(Assumptions!H$191=2027,1+Assumptions!$F$175,1)/12,1.1*Assumptions!H$202)-Assumptions!H$202)+Assumptions!H$208*MAX(0,MIN(Assumptions!$D$83*IF(Assumptions!H$191=2027,1+Assumptions!$F$175,1)/12,1.5*Assumptions!H$202)-1.1*Assumptions!H$202)+Assumptions!H$210*MAX(0,Assumptions!$D$83*IF(Assumptions!H$191=2027,1+Assumptions!$F$175,1)/12-1.5*Assumptions!H$202)))</f>
        <v>1202.5</v>
      </c>
      <c r="I80" s="65" t="n">
        <f aca="false">I16*(MIN(Assumptions!$D$83*IF(Assumptions!I$191=2027,1+Assumptions!$F$175,1)/12,Assumptions!I$202)*Assumptions!I$204+(Assumptions!I$206*MAX(0,MIN(Assumptions!$D$83*IF(Assumptions!I$191=2027,1+Assumptions!$F$175,1)/12,1.1*Assumptions!I$202)-Assumptions!I$202)+Assumptions!I$208*MAX(0,MIN(Assumptions!$D$83*IF(Assumptions!I$191=2027,1+Assumptions!$F$175,1)/12,1.5*Assumptions!I$202)-1.1*Assumptions!I$202)+Assumptions!I$210*MAX(0,Assumptions!$D$83*IF(Assumptions!I$191=2027,1+Assumptions!$F$175,1)/12-1.5*Assumptions!I$202)))</f>
        <v>1202.5</v>
      </c>
      <c r="J80" s="65" t="n">
        <f aca="false">J16*(MIN(Assumptions!$D$83*IF(Assumptions!J$191=2027,1+Assumptions!$F$175,1)/12,Assumptions!J$202)*Assumptions!J$204+(Assumptions!J$206*MAX(0,MIN(Assumptions!$D$83*IF(Assumptions!J$191=2027,1+Assumptions!$F$175,1)/12,1.1*Assumptions!J$202)-Assumptions!J$202)+Assumptions!J$208*MAX(0,MIN(Assumptions!$D$83*IF(Assumptions!J$191=2027,1+Assumptions!$F$175,1)/12,1.5*Assumptions!J$202)-1.1*Assumptions!J$202)+Assumptions!J$210*MAX(0,Assumptions!$D$83*IF(Assumptions!J$191=2027,1+Assumptions!$F$175,1)/12-1.5*Assumptions!J$202)))</f>
        <v>1202.5</v>
      </c>
      <c r="K80" s="65" t="n">
        <f aca="false">K16*(MIN(Assumptions!$D$83*IF(Assumptions!K$191=2027,1+Assumptions!$F$175,1)/12,Assumptions!K$202)*Assumptions!K$204+(Assumptions!K$206*MAX(0,MIN(Assumptions!$D$83*IF(Assumptions!K$191=2027,1+Assumptions!$F$175,1)/12,1.1*Assumptions!K$202)-Assumptions!K$202)+Assumptions!K$208*MAX(0,MIN(Assumptions!$D$83*IF(Assumptions!K$191=2027,1+Assumptions!$F$175,1)/12,1.5*Assumptions!K$202)-1.1*Assumptions!K$202)+Assumptions!K$210*MAX(0,Assumptions!$D$83*IF(Assumptions!K$191=2027,1+Assumptions!$F$175,1)/12-1.5*Assumptions!K$202)))</f>
        <v>1202.5</v>
      </c>
      <c r="L80" s="65" t="n">
        <f aca="false">L16*(MIN(Assumptions!$D$83*IF(Assumptions!L$191=2027,1+Assumptions!$F$175,1)/12,Assumptions!L$202)*Assumptions!L$204+(Assumptions!L$206*MAX(0,MIN(Assumptions!$D$83*IF(Assumptions!L$191=2027,1+Assumptions!$F$175,1)/12,1.1*Assumptions!L$202)-Assumptions!L$202)+Assumptions!L$208*MAX(0,MIN(Assumptions!$D$83*IF(Assumptions!L$191=2027,1+Assumptions!$F$175,1)/12,1.5*Assumptions!L$202)-1.1*Assumptions!L$202)+Assumptions!L$210*MAX(0,Assumptions!$D$83*IF(Assumptions!L$191=2027,1+Assumptions!$F$175,1)/12-1.5*Assumptions!L$202)))</f>
        <v>1202.5</v>
      </c>
      <c r="M80" s="65" t="n">
        <f aca="false">M16*(MIN(Assumptions!$D$83*IF(Assumptions!M$191=2027,1+Assumptions!$F$175,1)/12,Assumptions!M$202)*Assumptions!M$204+(Assumptions!M$206*MAX(0,MIN(Assumptions!$D$83*IF(Assumptions!M$191=2027,1+Assumptions!$F$175,1)/12,1.1*Assumptions!M$202)-Assumptions!M$202)+Assumptions!M$208*MAX(0,MIN(Assumptions!$D$83*IF(Assumptions!M$191=2027,1+Assumptions!$F$175,1)/12,1.5*Assumptions!M$202)-1.1*Assumptions!M$202)+Assumptions!M$210*MAX(0,Assumptions!$D$83*IF(Assumptions!M$191=2027,1+Assumptions!$F$175,1)/12-1.5*Assumptions!M$202)))</f>
        <v>1187.46875</v>
      </c>
      <c r="N80" s="65" t="n">
        <f aca="false">N16*(MIN(Assumptions!$D$83*IF(Assumptions!N$191=2027,1+Assumptions!$F$175,1)/12,Assumptions!N$202)*Assumptions!N$204+(Assumptions!N$206*MAX(0,MIN(Assumptions!$D$83*IF(Assumptions!N$191=2027,1+Assumptions!$F$175,1)/12,1.1*Assumptions!N$202)-Assumptions!N$202)+Assumptions!N$208*MAX(0,MIN(Assumptions!$D$83*IF(Assumptions!N$191=2027,1+Assumptions!$F$175,1)/12,1.5*Assumptions!N$202)-1.1*Assumptions!N$202)+Assumptions!N$210*MAX(0,Assumptions!$D$83*IF(Assumptions!N$191=2027,1+Assumptions!$F$175,1)/12-1.5*Assumptions!N$202)))</f>
        <v>1172.625390625</v>
      </c>
      <c r="O80" s="65" t="n">
        <f aca="false">O16*(MIN(Assumptions!$D$83*IF(Assumptions!O$191=2027,1+Assumptions!$F$175,1)/12,Assumptions!O$202)*Assumptions!O$204+(Assumptions!O$206*MAX(0,MIN(Assumptions!$D$83*IF(Assumptions!O$191=2027,1+Assumptions!$F$175,1)/12,1.1*Assumptions!O$202)-Assumptions!O$202)+Assumptions!O$208*MAX(0,MIN(Assumptions!$D$83*IF(Assumptions!O$191=2027,1+Assumptions!$F$175,1)/12,1.5*Assumptions!O$202)-1.1*Assumptions!O$202)+Assumptions!O$210*MAX(0,Assumptions!$D$83*IF(Assumptions!O$191=2027,1+Assumptions!$F$175,1)/12-1.5*Assumptions!O$202)))</f>
        <v>1172.99882324219</v>
      </c>
      <c r="P80" s="65" t="n">
        <f aca="false">P16*(MIN(Assumptions!$D$83*IF(Assumptions!P$191=2027,1+Assumptions!$F$175,1)/12,Assumptions!P$202)*Assumptions!P$204+(Assumptions!P$206*MAX(0,MIN(Assumptions!$D$83*IF(Assumptions!P$191=2027,1+Assumptions!$F$175,1)/12,1.1*Assumptions!P$202)-Assumptions!P$202)+Assumptions!P$208*MAX(0,MIN(Assumptions!$D$83*IF(Assumptions!P$191=2027,1+Assumptions!$F$175,1)/12,1.5*Assumptions!P$202)-1.1*Assumptions!P$202)+Assumptions!P$210*MAX(0,Assumptions!$D$83*IF(Assumptions!P$191=2027,1+Assumptions!$F$175,1)/12-1.5*Assumptions!P$202)))</f>
        <v>1173.17969732666</v>
      </c>
      <c r="Q80" s="65" t="n">
        <f aca="false">Q16*(MIN(Assumptions!$D$83*IF(Assumptions!Q$191=2027,1+Assumptions!$F$175,1)/12,Assumptions!Q$202)*Assumptions!Q$204+(Assumptions!Q$206*MAX(0,MIN(Assumptions!$D$83*IF(Assumptions!Q$191=2027,1+Assumptions!$F$175,1)/12,1.1*Assumptions!Q$202)-Assumptions!Q$202)+Assumptions!Q$208*MAX(0,MIN(Assumptions!$D$83*IF(Assumptions!Q$191=2027,1+Assumptions!$F$175,1)/12,1.5*Assumptions!Q$202)-1.1*Assumptions!Q$202)+Assumptions!Q$210*MAX(0,Assumptions!$D$83*IF(Assumptions!Q$191=2027,1+Assumptions!$F$175,1)/12-1.5*Assumptions!Q$202)))</f>
        <v>1217.96991943749</v>
      </c>
      <c r="R80" s="65" t="n">
        <f aca="false">R16*(MIN(Assumptions!$D$83*IF(Assumptions!R$191=2027,1+Assumptions!$F$175,1)/12,Assumptions!R$202)*Assumptions!R$204+(Assumptions!R$206*MAX(0,MIN(Assumptions!$D$83*IF(Assumptions!R$191=2027,1+Assumptions!$F$175,1)/12,1.1*Assumptions!R$202)-Assumptions!R$202)+Assumptions!R$208*MAX(0,MIN(Assumptions!$D$83*IF(Assumptions!R$191=2027,1+Assumptions!$F$175,1)/12,1.5*Assumptions!R$202)-1.1*Assumptions!R$202)+Assumptions!R$210*MAX(0,Assumptions!$D$83*IF(Assumptions!R$191=2027,1+Assumptions!$F$175,1)/12-1.5*Assumptions!R$202)))</f>
        <v>1217.96766209646</v>
      </c>
      <c r="S80" s="65" t="n">
        <f aca="false">S16*(MIN(Assumptions!$D$83*IF(Assumptions!S$191=2027,1+Assumptions!$F$175,1)/12,Assumptions!S$202)*Assumptions!S$204+(Assumptions!S$206*MAX(0,MIN(Assumptions!$D$83*IF(Assumptions!S$191=2027,1+Assumptions!$F$175,1)/12,1.1*Assumptions!S$202)-Assumptions!S$202)+Assumptions!S$208*MAX(0,MIN(Assumptions!$D$83*IF(Assumptions!S$191=2027,1+Assumptions!$F$175,1)/12,1.5*Assumptions!S$202)-1.1*Assumptions!S$202)+Assumptions!S$210*MAX(0,Assumptions!$D$83*IF(Assumptions!S$191=2027,1+Assumptions!$F$175,1)/12-1.5*Assumptions!S$202)))</f>
        <v>1426.03728023083</v>
      </c>
      <c r="T80" s="65" t="n">
        <f aca="false">T16*(MIN(Assumptions!$D$83*IF(Assumptions!T$191=2027,1+Assumptions!$F$175,1)/12,Assumptions!T$202)*Assumptions!T$204+(Assumptions!T$206*MAX(0,MIN(Assumptions!$D$83*IF(Assumptions!T$191=2027,1+Assumptions!$F$175,1)/12,1.1*Assumptions!T$202)-Assumptions!T$202)+Assumptions!T$208*MAX(0,MIN(Assumptions!$D$83*IF(Assumptions!T$191=2027,1+Assumptions!$F$175,1)/12,1.5*Assumptions!T$202)-1.1*Assumptions!T$202)+Assumptions!T$210*MAX(0,Assumptions!$D$83*IF(Assumptions!T$191=2027,1+Assumptions!$F$175,1)/12-1.5*Assumptions!T$202)))</f>
        <v>1423.43643822091</v>
      </c>
      <c r="U80" s="65" t="n">
        <f aca="false">U16*(MIN(Assumptions!$D$83*IF(Assumptions!U$191=2027,1+Assumptions!$F$175,1)/12,Assumptions!U$202)*Assumptions!U$204+(Assumptions!U$206*MAX(0,MIN(Assumptions!$D$83*IF(Assumptions!U$191=2027,1+Assumptions!$F$175,1)/12,1.1*Assumptions!U$202)-Assumptions!U$202)+Assumptions!U$208*MAX(0,MIN(Assumptions!$D$83*IF(Assumptions!U$191=2027,1+Assumptions!$F$175,1)/12,1.5*Assumptions!U$202)-1.1*Assumptions!U$202)+Assumptions!U$210*MAX(0,Assumptions!$D$83*IF(Assumptions!U$191=2027,1+Assumptions!$F$175,1)/12-1.5*Assumptions!U$202)))</f>
        <v>1420.86807851935</v>
      </c>
      <c r="V80" s="65" t="n">
        <f aca="false">V16*(MIN(Assumptions!$D$83*IF(Assumptions!V$191=2027,1+Assumptions!$F$175,1)/12,Assumptions!V$202)*Assumptions!V$204+(Assumptions!V$206*MAX(0,MIN(Assumptions!$D$83*IF(Assumptions!V$191=2027,1+Assumptions!$F$175,1)/12,1.1*Assumptions!V$202)-Assumptions!V$202)+Assumptions!V$208*MAX(0,MIN(Assumptions!$D$83*IF(Assumptions!V$191=2027,1+Assumptions!$F$175,1)/12,1.5*Assumptions!V$202)-1.1*Assumptions!V$202)+Assumptions!V$210*MAX(0,Assumptions!$D$83*IF(Assumptions!V$191=2027,1+Assumptions!$F$175,1)/12-1.5*Assumptions!V$202)))</f>
        <v>1420.93269354075</v>
      </c>
      <c r="W80" s="65" t="n">
        <f aca="false">W16*(MIN(Assumptions!$D$83*IF(Assumptions!W$191=2027,1+Assumptions!$F$175,1)/12,Assumptions!W$202)*Assumptions!W$204+(Assumptions!W$206*MAX(0,MIN(Assumptions!$D$83*IF(Assumptions!W$191=2027,1+Assumptions!$F$175,1)/12,1.1*Assumptions!W$202)-Assumptions!W$202)+Assumptions!W$208*MAX(0,MIN(Assumptions!$D$83*IF(Assumptions!W$191=2027,1+Assumptions!$F$175,1)/12,1.5*Assumptions!W$202)-1.1*Assumptions!W$202)+Assumptions!W$210*MAX(0,Assumptions!$D$83*IF(Assumptions!W$191=2027,1+Assumptions!$F$175,1)/12-1.5*Assumptions!W$202)))</f>
        <v>1420.96399034925</v>
      </c>
      <c r="X80" s="65" t="n">
        <f aca="false">X16*(MIN(Assumptions!$D$83*IF(Assumptions!X$191=2027,1+Assumptions!$F$175,1)/12,Assumptions!X$202)*Assumptions!X$204+(Assumptions!X$206*MAX(0,MIN(Assumptions!$D$83*IF(Assumptions!X$191=2027,1+Assumptions!$F$175,1)/12,1.1*Assumptions!X$202)-Assumptions!X$202)+Assumptions!X$208*MAX(0,MIN(Assumptions!$D$83*IF(Assumptions!X$191=2027,1+Assumptions!$F$175,1)/12,1.5*Assumptions!X$202)-1.1*Assumptions!X$202)+Assumptions!X$210*MAX(0,Assumptions!$D$83*IF(Assumptions!X$191=2027,1+Assumptions!$F$175,1)/12-1.5*Assumptions!X$202)))</f>
        <v>1420.96279145138</v>
      </c>
      <c r="Y80" s="65" t="n">
        <f aca="false">Y16*(MIN(Assumptions!$D$83*IF(Assumptions!Y$191=2027,1+Assumptions!$F$175,1)/12,Assumptions!Y$202)*Assumptions!Y$204+(Assumptions!Y$206*MAX(0,MIN(Assumptions!$D$83*IF(Assumptions!Y$191=2027,1+Assumptions!$F$175,1)/12,1.1*Assumptions!Y$202)-Assumptions!Y$202)+Assumptions!Y$208*MAX(0,MIN(Assumptions!$D$83*IF(Assumptions!Y$191=2027,1+Assumptions!$F$175,1)/12,1.5*Assumptions!Y$202)-1.1*Assumptions!Y$202)+Assumptions!Y$210*MAX(0,Assumptions!$D$83*IF(Assumptions!Y$191=2027,1+Assumptions!$F$175,1)/12-1.5*Assumptions!Y$202)))</f>
        <v>1420.96241522749</v>
      </c>
      <c r="Z80" s="65" t="n">
        <f aca="false">Z16*(MIN(Assumptions!$D$83*IF(Assumptions!Z$191=2027,1+Assumptions!$F$175,1)/12,Assumptions!Z$202)*Assumptions!Z$204+(Assumptions!Z$206*MAX(0,MIN(Assumptions!$D$83*IF(Assumptions!Z$191=2027,1+Assumptions!$F$175,1)/12,1.1*Assumptions!Z$202)-Assumptions!Z$202)+Assumptions!Z$208*MAX(0,MIN(Assumptions!$D$83*IF(Assumptions!Z$191=2027,1+Assumptions!$F$175,1)/12,1.5*Assumptions!Z$202)-1.1*Assumptions!Z$202)+Assumptions!Z$210*MAX(0,Assumptions!$D$83*IF(Assumptions!Z$191=2027,1+Assumptions!$F$175,1)/12-1.5*Assumptions!Z$202)))</f>
        <v>1420.96243491651</v>
      </c>
      <c r="AA80" s="65" t="n">
        <f aca="false">AA16*(MIN(Assumptions!$D$83*IF(Assumptions!AA$191=2027,1+Assumptions!$F$175,1)/12,Assumptions!AA$202)*Assumptions!AA$204+(Assumptions!AA$206*MAX(0,MIN(Assumptions!$D$83*IF(Assumptions!AA$191=2027,1+Assumptions!$F$175,1)/12,1.1*Assumptions!AA$202)-Assumptions!AA$202)+Assumptions!AA$208*MAX(0,MIN(Assumptions!$D$83*IF(Assumptions!AA$191=2027,1+Assumptions!$F$175,1)/12,1.5*Assumptions!AA$202)-1.1*Assumptions!AA$202)+Assumptions!AA$210*MAX(0,Assumptions!$D$83*IF(Assumptions!AA$191=2027,1+Assumptions!$F$175,1)/12-1.5*Assumptions!AA$202)))</f>
        <v>1420.9624393732</v>
      </c>
      <c r="AB80" s="65" t="n">
        <f aca="false">AB16*(MIN(Assumptions!$D$83*IF(Assumptions!AB$191=2027,1+Assumptions!$F$175,1)/12,Assumptions!AB$202)*Assumptions!AB$204+(Assumptions!AB$206*MAX(0,MIN(Assumptions!$D$83*IF(Assumptions!AB$191=2027,1+Assumptions!$F$175,1)/12,1.1*Assumptions!AB$202)-Assumptions!AB$202)+Assumptions!AB$208*MAX(0,MIN(Assumptions!$D$83*IF(Assumptions!AB$191=2027,1+Assumptions!$F$175,1)/12,1.5*Assumptions!AB$202)-1.1*Assumptions!AB$202)+Assumptions!AB$210*MAX(0,Assumptions!$D$83*IF(Assumptions!AB$191=2027,1+Assumptions!$F$175,1)/12-1.5*Assumptions!AB$202)))</f>
        <v>1420.96243907138</v>
      </c>
    </row>
    <row r="81" customFormat="false" ht="15" hidden="false" customHeight="false" outlineLevel="0" collapsed="false">
      <c r="A81" s="28" t="s">
        <v>1130</v>
      </c>
      <c r="B81" s="63"/>
      <c r="C81" s="64" t="n">
        <f aca="false">SUM(E81:P81)</f>
        <v>15798.7597501221</v>
      </c>
      <c r="D81" s="64" t="n">
        <f aca="false">SUM(Q81:AB81)</f>
        <v>21207.6242237873</v>
      </c>
      <c r="E81" s="65" t="n">
        <f aca="false">E17*(MIN(Assumptions!$D$84*IF(Assumptions!E$191=2027,1+Assumptions!$F$175,1)/12,Assumptions!E$202)*Assumptions!E$204+(Assumptions!E$206*MAX(0,MIN(Assumptions!$D$84*IF(Assumptions!E$191=2027,1+Assumptions!$F$175,1)/12,1.1*Assumptions!E$202)-Assumptions!E$202)+Assumptions!E$208*MAX(0,MIN(Assumptions!$D$84*IF(Assumptions!E$191=2027,1+Assumptions!$F$175,1)/12,1.5*Assumptions!E$202)-1.1*Assumptions!E$202)+Assumptions!E$210*MAX(0,Assumptions!$D$84*IF(Assumptions!E$191=2027,1+Assumptions!$F$175,1)/12-1.5*Assumptions!E$202)))</f>
        <v>1137.5</v>
      </c>
      <c r="F81" s="65" t="n">
        <f aca="false">F17*(MIN(Assumptions!$D$84*IF(Assumptions!F$191=2027,1+Assumptions!$F$175,1)/12,Assumptions!F$202)*Assumptions!F$204+(Assumptions!F$206*MAX(0,MIN(Assumptions!$D$84*IF(Assumptions!F$191=2027,1+Assumptions!$F$175,1)/12,1.1*Assumptions!F$202)-Assumptions!F$202)+Assumptions!F$208*MAX(0,MIN(Assumptions!$D$84*IF(Assumptions!F$191=2027,1+Assumptions!$F$175,1)/12,1.5*Assumptions!F$202)-1.1*Assumptions!F$202)+Assumptions!F$210*MAX(0,Assumptions!$D$84*IF(Assumptions!F$191=2027,1+Assumptions!$F$175,1)/12-1.5*Assumptions!F$202)))</f>
        <v>1137.5</v>
      </c>
      <c r="G81" s="65" t="n">
        <f aca="false">G17*(MIN(Assumptions!$D$84*IF(Assumptions!G$191=2027,1+Assumptions!$F$175,1)/12,Assumptions!G$202)*Assumptions!G$204+(Assumptions!G$206*MAX(0,MIN(Assumptions!$D$84*IF(Assumptions!G$191=2027,1+Assumptions!$F$175,1)/12,1.1*Assumptions!G$202)-Assumptions!G$202)+Assumptions!G$208*MAX(0,MIN(Assumptions!$D$84*IF(Assumptions!G$191=2027,1+Assumptions!$F$175,1)/12,1.5*Assumptions!G$202)-1.1*Assumptions!G$202)+Assumptions!G$210*MAX(0,Assumptions!$D$84*IF(Assumptions!G$191=2027,1+Assumptions!$F$175,1)/12-1.5*Assumptions!G$202)))</f>
        <v>1137.5</v>
      </c>
      <c r="H81" s="65" t="n">
        <f aca="false">H17*(MIN(Assumptions!$D$84*IF(Assumptions!H$191=2027,1+Assumptions!$F$175,1)/12,Assumptions!H$202)*Assumptions!H$204+(Assumptions!H$206*MAX(0,MIN(Assumptions!$D$84*IF(Assumptions!H$191=2027,1+Assumptions!$F$175,1)/12,1.1*Assumptions!H$202)-Assumptions!H$202)+Assumptions!H$208*MAX(0,MIN(Assumptions!$D$84*IF(Assumptions!H$191=2027,1+Assumptions!$F$175,1)/12,1.5*Assumptions!H$202)-1.1*Assumptions!H$202)+Assumptions!H$210*MAX(0,Assumptions!$D$84*IF(Assumptions!H$191=2027,1+Assumptions!$F$175,1)/12-1.5*Assumptions!H$202)))</f>
        <v>1137.5</v>
      </c>
      <c r="I81" s="65" t="n">
        <f aca="false">I17*(MIN(Assumptions!$D$84*IF(Assumptions!I$191=2027,1+Assumptions!$F$175,1)/12,Assumptions!I$202)*Assumptions!I$204+(Assumptions!I$206*MAX(0,MIN(Assumptions!$D$84*IF(Assumptions!I$191=2027,1+Assumptions!$F$175,1)/12,1.1*Assumptions!I$202)-Assumptions!I$202)+Assumptions!I$208*MAX(0,MIN(Assumptions!$D$84*IF(Assumptions!I$191=2027,1+Assumptions!$F$175,1)/12,1.5*Assumptions!I$202)-1.1*Assumptions!I$202)+Assumptions!I$210*MAX(0,Assumptions!$D$84*IF(Assumptions!I$191=2027,1+Assumptions!$F$175,1)/12-1.5*Assumptions!I$202)))</f>
        <v>1137.5</v>
      </c>
      <c r="J81" s="65" t="n">
        <f aca="false">J17*(MIN(Assumptions!$D$84*IF(Assumptions!J$191=2027,1+Assumptions!$F$175,1)/12,Assumptions!J$202)*Assumptions!J$204+(Assumptions!J$206*MAX(0,MIN(Assumptions!$D$84*IF(Assumptions!J$191=2027,1+Assumptions!$F$175,1)/12,1.1*Assumptions!J$202)-Assumptions!J$202)+Assumptions!J$208*MAX(0,MIN(Assumptions!$D$84*IF(Assumptions!J$191=2027,1+Assumptions!$F$175,1)/12,1.5*Assumptions!J$202)-1.1*Assumptions!J$202)+Assumptions!J$210*MAX(0,Assumptions!$D$84*IF(Assumptions!J$191=2027,1+Assumptions!$F$175,1)/12-1.5*Assumptions!J$202)))</f>
        <v>1365</v>
      </c>
      <c r="K81" s="65" t="n">
        <f aca="false">K17*(MIN(Assumptions!$D$84*IF(Assumptions!K$191=2027,1+Assumptions!$F$175,1)/12,Assumptions!K$202)*Assumptions!K$204+(Assumptions!K$206*MAX(0,MIN(Assumptions!$D$84*IF(Assumptions!K$191=2027,1+Assumptions!$F$175,1)/12,1.1*Assumptions!K$202)-Assumptions!K$202)+Assumptions!K$208*MAX(0,MIN(Assumptions!$D$84*IF(Assumptions!K$191=2027,1+Assumptions!$F$175,1)/12,1.5*Assumptions!K$202)-1.1*Assumptions!K$202)+Assumptions!K$210*MAX(0,Assumptions!$D$84*IF(Assumptions!K$191=2027,1+Assumptions!$F$175,1)/12-1.5*Assumptions!K$202)))</f>
        <v>1365</v>
      </c>
      <c r="L81" s="65" t="n">
        <f aca="false">L17*(MIN(Assumptions!$D$84*IF(Assumptions!L$191=2027,1+Assumptions!$F$175,1)/12,Assumptions!L$202)*Assumptions!L$204+(Assumptions!L$206*MAX(0,MIN(Assumptions!$D$84*IF(Assumptions!L$191=2027,1+Assumptions!$F$175,1)/12,1.1*Assumptions!L$202)-Assumptions!L$202)+Assumptions!L$208*MAX(0,MIN(Assumptions!$D$84*IF(Assumptions!L$191=2027,1+Assumptions!$F$175,1)/12,1.5*Assumptions!L$202)-1.1*Assumptions!L$202)+Assumptions!L$210*MAX(0,Assumptions!$D$84*IF(Assumptions!L$191=2027,1+Assumptions!$F$175,1)/12-1.5*Assumptions!L$202)))</f>
        <v>1365</v>
      </c>
      <c r="M81" s="65" t="n">
        <f aca="false">M17*(MIN(Assumptions!$D$84*IF(Assumptions!M$191=2027,1+Assumptions!$F$175,1)/12,Assumptions!M$202)*Assumptions!M$204+(Assumptions!M$206*MAX(0,MIN(Assumptions!$D$84*IF(Assumptions!M$191=2027,1+Assumptions!$F$175,1)/12,1.1*Assumptions!M$202)-Assumptions!M$202)+Assumptions!M$208*MAX(0,MIN(Assumptions!$D$84*IF(Assumptions!M$191=2027,1+Assumptions!$F$175,1)/12,1.5*Assumptions!M$202)-1.1*Assumptions!M$202)+Assumptions!M$210*MAX(0,Assumptions!$D$84*IF(Assumptions!M$191=2027,1+Assumptions!$F$175,1)/12-1.5*Assumptions!M$202)))</f>
        <v>1347.9375</v>
      </c>
      <c r="N81" s="65" t="n">
        <f aca="false">N17*(MIN(Assumptions!$D$84*IF(Assumptions!N$191=2027,1+Assumptions!$F$175,1)/12,Assumptions!N$202)*Assumptions!N$204+(Assumptions!N$206*MAX(0,MIN(Assumptions!$D$84*IF(Assumptions!N$191=2027,1+Assumptions!$F$175,1)/12,1.1*Assumptions!N$202)-Assumptions!N$202)+Assumptions!N$208*MAX(0,MIN(Assumptions!$D$84*IF(Assumptions!N$191=2027,1+Assumptions!$F$175,1)/12,1.5*Assumptions!N$202)-1.1*Assumptions!N$202)+Assumptions!N$210*MAX(0,Assumptions!$D$84*IF(Assumptions!N$191=2027,1+Assumptions!$F$175,1)/12-1.5*Assumptions!N$202)))</f>
        <v>1558.58828125</v>
      </c>
      <c r="O81" s="65" t="n">
        <f aca="false">O17*(MIN(Assumptions!$D$84*IF(Assumptions!O$191=2027,1+Assumptions!$F$175,1)/12,Assumptions!O$202)*Assumptions!O$204+(Assumptions!O$206*MAX(0,MIN(Assumptions!$D$84*IF(Assumptions!O$191=2027,1+Assumptions!$F$175,1)/12,1.1*Assumptions!O$202)-Assumptions!O$202)+Assumptions!O$208*MAX(0,MIN(Assumptions!$D$84*IF(Assumptions!O$191=2027,1+Assumptions!$F$175,1)/12,1.5*Assumptions!O$202)-1.1*Assumptions!O$202)+Assumptions!O$210*MAX(0,Assumptions!$D$84*IF(Assumptions!O$191=2027,1+Assumptions!$F$175,1)/12-1.5*Assumptions!O$202)))</f>
        <v>1556.16842773438</v>
      </c>
      <c r="P81" s="65" t="n">
        <f aca="false">P17*(MIN(Assumptions!$D$84*IF(Assumptions!P$191=2027,1+Assumptions!$F$175,1)/12,Assumptions!P$202)*Assumptions!P$204+(Assumptions!P$206*MAX(0,MIN(Assumptions!$D$84*IF(Assumptions!P$191=2027,1+Assumptions!$F$175,1)/12,1.1*Assumptions!P$202)-Assumptions!P$202)+Assumptions!P$208*MAX(0,MIN(Assumptions!$D$84*IF(Assumptions!P$191=2027,1+Assumptions!$F$175,1)/12,1.5*Assumptions!P$202)-1.1*Assumptions!P$202)+Assumptions!P$210*MAX(0,Assumptions!$D$84*IF(Assumptions!P$191=2027,1+Assumptions!$F$175,1)/12-1.5*Assumptions!P$202)))</f>
        <v>1553.5655411377</v>
      </c>
      <c r="Q81" s="65" t="n">
        <f aca="false">Q17*(MIN(Assumptions!$D$84*IF(Assumptions!Q$191=2027,1+Assumptions!$F$175,1)/12,Assumptions!Q$202)*Assumptions!Q$204+(Assumptions!Q$206*MAX(0,MIN(Assumptions!$D$84*IF(Assumptions!Q$191=2027,1+Assumptions!$F$175,1)/12,1.1*Assumptions!Q$202)-Assumptions!Q$202)+Assumptions!Q$208*MAX(0,MIN(Assumptions!$D$84*IF(Assumptions!Q$191=2027,1+Assumptions!$F$175,1)/12,1.5*Assumptions!Q$202)-1.1*Assumptions!Q$202)+Assumptions!Q$210*MAX(0,Assumptions!$D$84*IF(Assumptions!Q$191=2027,1+Assumptions!$F$175,1)/12-1.5*Assumptions!Q$202)))</f>
        <v>1612.95302544473</v>
      </c>
      <c r="R81" s="65" t="n">
        <f aca="false">R17*(MIN(Assumptions!$D$84*IF(Assumptions!R$191=2027,1+Assumptions!$F$175,1)/12,Assumptions!R$202)*Assumptions!R$204+(Assumptions!R$206*MAX(0,MIN(Assumptions!$D$84*IF(Assumptions!R$191=2027,1+Assumptions!$F$175,1)/12,1.1*Assumptions!R$202)-Assumptions!R$202)+Assumptions!R$208*MAX(0,MIN(Assumptions!$D$84*IF(Assumptions!R$191=2027,1+Assumptions!$F$175,1)/12,1.5*Assumptions!R$202)-1.1*Assumptions!R$202)+Assumptions!R$210*MAX(0,Assumptions!$D$84*IF(Assumptions!R$191=2027,1+Assumptions!$F$175,1)/12-1.5*Assumptions!R$202)))</f>
        <v>1612.98598913443</v>
      </c>
      <c r="S81" s="65" t="n">
        <f aca="false">S17*(MIN(Assumptions!$D$84*IF(Assumptions!S$191=2027,1+Assumptions!$F$175,1)/12,Assumptions!S$202)*Assumptions!S$204+(Assumptions!S$206*MAX(0,MIN(Assumptions!$D$84*IF(Assumptions!S$191=2027,1+Assumptions!$F$175,1)/12,1.1*Assumptions!S$202)-Assumptions!S$202)+Assumptions!S$208*MAX(0,MIN(Assumptions!$D$84*IF(Assumptions!S$191=2027,1+Assumptions!$F$175,1)/12,1.5*Assumptions!S$202)-1.1*Assumptions!S$202)+Assumptions!S$210*MAX(0,Assumptions!$D$84*IF(Assumptions!S$191=2027,1+Assumptions!$F$175,1)/12-1.5*Assumptions!S$202)))</f>
        <v>1612.98476231776</v>
      </c>
      <c r="T81" s="65" t="n">
        <f aca="false">T17*(MIN(Assumptions!$D$84*IF(Assumptions!T$191=2027,1+Assumptions!$F$175,1)/12,Assumptions!T$202)*Assumptions!T$204+(Assumptions!T$206*MAX(0,MIN(Assumptions!$D$84*IF(Assumptions!T$191=2027,1+Assumptions!$F$175,1)/12,1.1*Assumptions!T$202)-Assumptions!T$202)+Assumptions!T$208*MAX(0,MIN(Assumptions!$D$84*IF(Assumptions!T$191=2027,1+Assumptions!$F$175,1)/12,1.5*Assumptions!T$202)-1.1*Assumptions!T$202)+Assumptions!T$210*MAX(0,Assumptions!$D$84*IF(Assumptions!T$191=2027,1+Assumptions!$F$175,1)/12-1.5*Assumptions!T$202)))</f>
        <v>1612.98436560685</v>
      </c>
      <c r="U81" s="65" t="n">
        <f aca="false">U17*(MIN(Assumptions!$D$84*IF(Assumptions!U$191=2027,1+Assumptions!$F$175,1)/12,Assumptions!U$202)*Assumptions!U$204+(Assumptions!U$206*MAX(0,MIN(Assumptions!$D$84*IF(Assumptions!U$191=2027,1+Assumptions!$F$175,1)/12,1.1*Assumptions!U$202)-Assumptions!U$202)+Assumptions!U$208*MAX(0,MIN(Assumptions!$D$84*IF(Assumptions!U$191=2027,1+Assumptions!$F$175,1)/12,1.5*Assumptions!U$202)-1.1*Assumptions!U$202)+Assumptions!U$210*MAX(0,Assumptions!$D$84*IF(Assumptions!U$191=2027,1+Assumptions!$F$175,1)/12-1.5*Assumptions!U$202)))</f>
        <v>1849.17138590094</v>
      </c>
      <c r="V81" s="65" t="n">
        <f aca="false">V17*(MIN(Assumptions!$D$84*IF(Assumptions!V$191=2027,1+Assumptions!$F$175,1)/12,Assumptions!V$202)*Assumptions!V$204+(Assumptions!V$206*MAX(0,MIN(Assumptions!$D$84*IF(Assumptions!V$191=2027,1+Assumptions!$F$175,1)/12,1.1*Assumptions!V$202)-Assumptions!V$202)+Assumptions!V$208*MAX(0,MIN(Assumptions!$D$84*IF(Assumptions!V$191=2027,1+Assumptions!$F$175,1)/12,1.5*Assumptions!V$202)-1.1*Assumptions!V$202)+Assumptions!V$210*MAX(0,Assumptions!$D$84*IF(Assumptions!V$191=2027,1+Assumptions!$F$175,1)/12-1.5*Assumptions!V$202)))</f>
        <v>1846.21905310615</v>
      </c>
      <c r="W81" s="65" t="n">
        <f aca="false">W17*(MIN(Assumptions!$D$84*IF(Assumptions!W$191=2027,1+Assumptions!$F$175,1)/12,Assumptions!W$202)*Assumptions!W$204+(Assumptions!W$206*MAX(0,MIN(Assumptions!$D$84*IF(Assumptions!W$191=2027,1+Assumptions!$F$175,1)/12,1.1*Assumptions!W$202)-Assumptions!W$202)+Assumptions!W$208*MAX(0,MIN(Assumptions!$D$84*IF(Assumptions!W$191=2027,1+Assumptions!$F$175,1)/12,1.5*Assumptions!W$202)-1.1*Assumptions!W$202)+Assumptions!W$210*MAX(0,Assumptions!$D$84*IF(Assumptions!W$191=2027,1+Assumptions!$F$175,1)/12-1.5*Assumptions!W$202)))</f>
        <v>1843.30361951241</v>
      </c>
      <c r="X81" s="65" t="n">
        <f aca="false">X17*(MIN(Assumptions!$D$84*IF(Assumptions!X$191=2027,1+Assumptions!$F$175,1)/12,Assumptions!X$202)*Assumptions!X$204+(Assumptions!X$206*MAX(0,MIN(Assumptions!$D$84*IF(Assumptions!X$191=2027,1+Assumptions!$F$175,1)/12,1.1*Assumptions!X$202)-Assumptions!X$202)+Assumptions!X$208*MAX(0,MIN(Assumptions!$D$84*IF(Assumptions!X$191=2027,1+Assumptions!$F$175,1)/12,1.5*Assumptions!X$202)-1.1*Assumptions!X$202)+Assumptions!X$210*MAX(0,Assumptions!$D$84*IF(Assumptions!X$191=2027,1+Assumptions!$F$175,1)/12-1.5*Assumptions!X$202)))</f>
        <v>1843.37696659227</v>
      </c>
      <c r="Y81" s="65" t="n">
        <f aca="false">Y17*(MIN(Assumptions!$D$84*IF(Assumptions!Y$191=2027,1+Assumptions!$F$175,1)/12,Assumptions!Y$202)*Assumptions!Y$204+(Assumptions!Y$206*MAX(0,MIN(Assumptions!$D$84*IF(Assumptions!Y$191=2027,1+Assumptions!$F$175,1)/12,1.1*Assumptions!Y$202)-Assumptions!Y$202)+Assumptions!Y$208*MAX(0,MIN(Assumptions!$D$84*IF(Assumptions!Y$191=2027,1+Assumptions!$F$175,1)/12,1.5*Assumptions!Y$202)-1.1*Assumptions!Y$202)+Assumptions!Y$210*MAX(0,Assumptions!$D$84*IF(Assumptions!Y$191=2027,1+Assumptions!$F$175,1)/12-1.5*Assumptions!Y$202)))</f>
        <v>1843.41249267369</v>
      </c>
      <c r="Z81" s="65" t="n">
        <f aca="false">Z17*(MIN(Assumptions!$D$84*IF(Assumptions!Z$191=2027,1+Assumptions!$F$175,1)/12,Assumptions!Z$202)*Assumptions!Z$204+(Assumptions!Z$206*MAX(0,MIN(Assumptions!$D$84*IF(Assumptions!Z$191=2027,1+Assumptions!$F$175,1)/12,1.1*Assumptions!Z$202)-Assumptions!Z$202)+Assumptions!Z$208*MAX(0,MIN(Assumptions!$D$84*IF(Assumptions!Z$191=2027,1+Assumptions!$F$175,1)/12,1.5*Assumptions!Z$202)-1.1*Assumptions!Z$202)+Assumptions!Z$210*MAX(0,Assumptions!$D$84*IF(Assumptions!Z$191=2027,1+Assumptions!$F$175,1)/12-1.5*Assumptions!Z$202)))</f>
        <v>1843.41113175918</v>
      </c>
      <c r="AA81" s="65" t="n">
        <f aca="false">AA17*(MIN(Assumptions!$D$84*IF(Assumptions!AA$191=2027,1+Assumptions!$F$175,1)/12,Assumptions!AA$202)*Assumptions!AA$204+(Assumptions!AA$206*MAX(0,MIN(Assumptions!$D$84*IF(Assumptions!AA$191=2027,1+Assumptions!$F$175,1)/12,1.1*Assumptions!AA$202)-Assumptions!AA$202)+Assumptions!AA$208*MAX(0,MIN(Assumptions!$D$84*IF(Assumptions!AA$191=2027,1+Assumptions!$F$175,1)/12,1.5*Assumptions!AA$202)-1.1*Assumptions!AA$202)+Assumptions!AA$210*MAX(0,Assumptions!$D$84*IF(Assumptions!AA$191=2027,1+Assumptions!$F$175,1)/12-1.5*Assumptions!AA$202)))</f>
        <v>1843.41070469459</v>
      </c>
      <c r="AB81" s="65" t="n">
        <f aca="false">AB17*(MIN(Assumptions!$D$84*IF(Assumptions!AB$191=2027,1+Assumptions!$F$175,1)/12,Assumptions!AB$202)*Assumptions!AB$204+(Assumptions!AB$206*MAX(0,MIN(Assumptions!$D$84*IF(Assumptions!AB$191=2027,1+Assumptions!$F$175,1)/12,1.1*Assumptions!AB$202)-Assumptions!AB$202)+Assumptions!AB$208*MAX(0,MIN(Assumptions!$D$84*IF(Assumptions!AB$191=2027,1+Assumptions!$F$175,1)/12,1.5*Assumptions!AB$202)-1.1*Assumptions!AB$202)+Assumptions!AB$210*MAX(0,Assumptions!$D$84*IF(Assumptions!AB$191=2027,1+Assumptions!$F$175,1)/12-1.5*Assumptions!AB$202)))</f>
        <v>1843.41072704433</v>
      </c>
    </row>
    <row r="82" customFormat="false" ht="15" hidden="false" customHeight="false" outlineLevel="0" collapsed="false">
      <c r="A82" s="28" t="s">
        <v>1131</v>
      </c>
      <c r="B82" s="63"/>
      <c r="C82" s="64" t="n">
        <f aca="false">SUM(E82:P82)</f>
        <v>3994.442934428</v>
      </c>
      <c r="D82" s="64" t="n">
        <f aca="false">SUM(Q82:AB82)</f>
        <v>4048.29949956296</v>
      </c>
      <c r="E82" s="65" t="n">
        <f aca="false">E18*(MIN(Assumptions!$D$85*IF(Assumptions!E$191=2027,1+Assumptions!$F$175,1)/12,Assumptions!E$202)*Assumptions!E$204+(Assumptions!E$206*MAX(0,MIN(Assumptions!$D$85*IF(Assumptions!E$191=2027,1+Assumptions!$F$175,1)/12,1.1*Assumptions!E$202)-Assumptions!E$202)+Assumptions!E$208*MAX(0,MIN(Assumptions!$D$85*IF(Assumptions!E$191=2027,1+Assumptions!$F$175,1)/12,1.5*Assumptions!E$202)-1.1*Assumptions!E$202)+Assumptions!E$210*MAX(0,Assumptions!$D$85*IF(Assumptions!E$191=2027,1+Assumptions!$F$175,1)/12-1.5*Assumptions!E$202)))</f>
        <v>336.867916</v>
      </c>
      <c r="F82" s="65" t="n">
        <f aca="false">F18*(MIN(Assumptions!$D$85*IF(Assumptions!F$191=2027,1+Assumptions!$F$175,1)/12,Assumptions!F$202)*Assumptions!F$204+(Assumptions!F$206*MAX(0,MIN(Assumptions!$D$85*IF(Assumptions!F$191=2027,1+Assumptions!$F$175,1)/12,1.1*Assumptions!F$202)-Assumptions!F$202)+Assumptions!F$208*MAX(0,MIN(Assumptions!$D$85*IF(Assumptions!F$191=2027,1+Assumptions!$F$175,1)/12,1.5*Assumptions!F$202)-1.1*Assumptions!F$202)+Assumptions!F$210*MAX(0,Assumptions!$D$85*IF(Assumptions!F$191=2027,1+Assumptions!$F$175,1)/12-1.5*Assumptions!F$202)))</f>
        <v>336.867916</v>
      </c>
      <c r="G82" s="65" t="n">
        <f aca="false">G18*(MIN(Assumptions!$D$85*IF(Assumptions!G$191=2027,1+Assumptions!$F$175,1)/12,Assumptions!G$202)*Assumptions!G$204+(Assumptions!G$206*MAX(0,MIN(Assumptions!$D$85*IF(Assumptions!G$191=2027,1+Assumptions!$F$175,1)/12,1.1*Assumptions!G$202)-Assumptions!G$202)+Assumptions!G$208*MAX(0,MIN(Assumptions!$D$85*IF(Assumptions!G$191=2027,1+Assumptions!$F$175,1)/12,1.5*Assumptions!G$202)-1.1*Assumptions!G$202)+Assumptions!G$210*MAX(0,Assumptions!$D$85*IF(Assumptions!G$191=2027,1+Assumptions!$F$175,1)/12-1.5*Assumptions!G$202)))</f>
        <v>336.867916</v>
      </c>
      <c r="H82" s="65" t="n">
        <f aca="false">H18*(MIN(Assumptions!$D$85*IF(Assumptions!H$191=2027,1+Assumptions!$F$175,1)/12,Assumptions!H$202)*Assumptions!H$204+(Assumptions!H$206*MAX(0,MIN(Assumptions!$D$85*IF(Assumptions!H$191=2027,1+Assumptions!$F$175,1)/12,1.1*Assumptions!H$202)-Assumptions!H$202)+Assumptions!H$208*MAX(0,MIN(Assumptions!$D$85*IF(Assumptions!H$191=2027,1+Assumptions!$F$175,1)/12,1.5*Assumptions!H$202)-1.1*Assumptions!H$202)+Assumptions!H$210*MAX(0,Assumptions!$D$85*IF(Assumptions!H$191=2027,1+Assumptions!$F$175,1)/12-1.5*Assumptions!H$202)))</f>
        <v>336.867916</v>
      </c>
      <c r="I82" s="65" t="n">
        <f aca="false">I18*(MIN(Assumptions!$D$85*IF(Assumptions!I$191=2027,1+Assumptions!$F$175,1)/12,Assumptions!I$202)*Assumptions!I$204+(Assumptions!I$206*MAX(0,MIN(Assumptions!$D$85*IF(Assumptions!I$191=2027,1+Assumptions!$F$175,1)/12,1.1*Assumptions!I$202)-Assumptions!I$202)+Assumptions!I$208*MAX(0,MIN(Assumptions!$D$85*IF(Assumptions!I$191=2027,1+Assumptions!$F$175,1)/12,1.5*Assumptions!I$202)-1.1*Assumptions!I$202)+Assumptions!I$210*MAX(0,Assumptions!$D$85*IF(Assumptions!I$191=2027,1+Assumptions!$F$175,1)/12-1.5*Assumptions!I$202)))</f>
        <v>336.867916</v>
      </c>
      <c r="J82" s="65" t="n">
        <f aca="false">J18*(MIN(Assumptions!$D$85*IF(Assumptions!J$191=2027,1+Assumptions!$F$175,1)/12,Assumptions!J$202)*Assumptions!J$204+(Assumptions!J$206*MAX(0,MIN(Assumptions!$D$85*IF(Assumptions!J$191=2027,1+Assumptions!$F$175,1)/12,1.1*Assumptions!J$202)-Assumptions!J$202)+Assumptions!J$208*MAX(0,MIN(Assumptions!$D$85*IF(Assumptions!J$191=2027,1+Assumptions!$F$175,1)/12,1.5*Assumptions!J$202)-1.1*Assumptions!J$202)+Assumptions!J$210*MAX(0,Assumptions!$D$85*IF(Assumptions!J$191=2027,1+Assumptions!$F$175,1)/12-1.5*Assumptions!J$202)))</f>
        <v>336.867916</v>
      </c>
      <c r="K82" s="65" t="n">
        <f aca="false">K18*(MIN(Assumptions!$D$85*IF(Assumptions!K$191=2027,1+Assumptions!$F$175,1)/12,Assumptions!K$202)*Assumptions!K$204+(Assumptions!K$206*MAX(0,MIN(Assumptions!$D$85*IF(Assumptions!K$191=2027,1+Assumptions!$F$175,1)/12,1.1*Assumptions!K$202)-Assumptions!K$202)+Assumptions!K$208*MAX(0,MIN(Assumptions!$D$85*IF(Assumptions!K$191=2027,1+Assumptions!$F$175,1)/12,1.5*Assumptions!K$202)-1.1*Assumptions!K$202)+Assumptions!K$210*MAX(0,Assumptions!$D$85*IF(Assumptions!K$191=2027,1+Assumptions!$F$175,1)/12-1.5*Assumptions!K$202)))</f>
        <v>336.867916</v>
      </c>
      <c r="L82" s="65" t="n">
        <f aca="false">L18*(MIN(Assumptions!$D$85*IF(Assumptions!L$191=2027,1+Assumptions!$F$175,1)/12,Assumptions!L$202)*Assumptions!L$204+(Assumptions!L$206*MAX(0,MIN(Assumptions!$D$85*IF(Assumptions!L$191=2027,1+Assumptions!$F$175,1)/12,1.1*Assumptions!L$202)-Assumptions!L$202)+Assumptions!L$208*MAX(0,MIN(Assumptions!$D$85*IF(Assumptions!L$191=2027,1+Assumptions!$F$175,1)/12,1.5*Assumptions!L$202)-1.1*Assumptions!L$202)+Assumptions!L$210*MAX(0,Assumptions!$D$85*IF(Assumptions!L$191=2027,1+Assumptions!$F$175,1)/12-1.5*Assumptions!L$202)))</f>
        <v>336.867916</v>
      </c>
      <c r="M82" s="65" t="n">
        <f aca="false">M18*(MIN(Assumptions!$D$85*IF(Assumptions!M$191=2027,1+Assumptions!$F$175,1)/12,Assumptions!M$202)*Assumptions!M$204+(Assumptions!M$206*MAX(0,MIN(Assumptions!$D$85*IF(Assumptions!M$191=2027,1+Assumptions!$F$175,1)/12,1.1*Assumptions!M$202)-Assumptions!M$202)+Assumptions!M$208*MAX(0,MIN(Assumptions!$D$85*IF(Assumptions!M$191=2027,1+Assumptions!$F$175,1)/12,1.5*Assumptions!M$202)-1.1*Assumptions!M$202)+Assumptions!M$210*MAX(0,Assumptions!$D$85*IF(Assumptions!M$191=2027,1+Assumptions!$F$175,1)/12-1.5*Assumptions!M$202)))</f>
        <v>329.849834416667</v>
      </c>
      <c r="N82" s="65" t="n">
        <f aca="false">N18*(MIN(Assumptions!$D$85*IF(Assumptions!N$191=2027,1+Assumptions!$F$175,1)/12,Assumptions!N$202)*Assumptions!N$204+(Assumptions!N$206*MAX(0,MIN(Assumptions!$D$85*IF(Assumptions!N$191=2027,1+Assumptions!$F$175,1)/12,1.1*Assumptions!N$202)-Assumptions!N$202)+Assumptions!N$208*MAX(0,MIN(Assumptions!$D$85*IF(Assumptions!N$191=2027,1+Assumptions!$F$175,1)/12,1.5*Assumptions!N$202)-1.1*Assumptions!N$202)+Assumptions!N$210*MAX(0,Assumptions!$D$85*IF(Assumptions!N$191=2027,1+Assumptions!$F$175,1)/12-1.5*Assumptions!N$202)))</f>
        <v>322.977962866319</v>
      </c>
      <c r="O82" s="65" t="n">
        <f aca="false">O18*(MIN(Assumptions!$D$85*IF(Assumptions!O$191=2027,1+Assumptions!$F$175,1)/12,Assumptions!O$202)*Assumptions!O$204+(Assumptions!O$206*MAX(0,MIN(Assumptions!$D$85*IF(Assumptions!O$191=2027,1+Assumptions!$F$175,1)/12,1.1*Assumptions!O$202)-Assumptions!O$202)+Assumptions!O$208*MAX(0,MIN(Assumptions!$D$85*IF(Assumptions!O$191=2027,1+Assumptions!$F$175,1)/12,1.5*Assumptions!O$202)-1.1*Assumptions!O$202)+Assumptions!O$210*MAX(0,Assumptions!$D$85*IF(Assumptions!O$191=2027,1+Assumptions!$F$175,1)/12-1.5*Assumptions!O$202)))</f>
        <v>323.267336889938</v>
      </c>
      <c r="P82" s="65" t="n">
        <f aca="false">P18*(MIN(Assumptions!$D$85*IF(Assumptions!P$191=2027,1+Assumptions!$F$175,1)/12,Assumptions!P$202)*Assumptions!P$204+(Assumptions!P$206*MAX(0,MIN(Assumptions!$D$85*IF(Assumptions!P$191=2027,1+Assumptions!$F$175,1)/12,1.1*Assumptions!P$202)-Assumptions!P$202)+Assumptions!P$208*MAX(0,MIN(Assumptions!$D$85*IF(Assumptions!P$191=2027,1+Assumptions!$F$175,1)/12,1.5*Assumptions!P$202)-1.1*Assumptions!P$202)+Assumptions!P$210*MAX(0,Assumptions!$D$85*IF(Assumptions!P$191=2027,1+Assumptions!$F$175,1)/12-1.5*Assumptions!P$202)))</f>
        <v>323.404472255078</v>
      </c>
      <c r="Q82" s="65" t="n">
        <f aca="false">Q18*(MIN(Assumptions!$D$85*IF(Assumptions!Q$191=2027,1+Assumptions!$F$175,1)/12,Assumptions!Q$202)*Assumptions!Q$204+(Assumptions!Q$206*MAX(0,MIN(Assumptions!$D$85*IF(Assumptions!Q$191=2027,1+Assumptions!$F$175,1)/12,1.1*Assumptions!Q$202)-Assumptions!Q$202)+Assumptions!Q$208*MAX(0,MIN(Assumptions!$D$85*IF(Assumptions!Q$191=2027,1+Assumptions!$F$175,1)/12,1.5*Assumptions!Q$202)-1.1*Assumptions!Q$202)+Assumptions!Q$210*MAX(0,Assumptions!$D$85*IF(Assumptions!Q$191=2027,1+Assumptions!$F$175,1)/12-1.5*Assumptions!Q$202)))</f>
        <v>337.360602371548</v>
      </c>
      <c r="R82" s="65" t="n">
        <f aca="false">R18*(MIN(Assumptions!$D$85*IF(Assumptions!R$191=2027,1+Assumptions!$F$175,1)/12,Assumptions!R$202)*Assumptions!R$204+(Assumptions!R$206*MAX(0,MIN(Assumptions!$D$85*IF(Assumptions!R$191=2027,1+Assumptions!$F$175,1)/12,1.1*Assumptions!R$202)-Assumptions!R$202)+Assumptions!R$208*MAX(0,MIN(Assumptions!$D$85*IF(Assumptions!R$191=2027,1+Assumptions!$F$175,1)/12,1.5*Assumptions!R$202)-1.1*Assumptions!R$202)+Assumptions!R$210*MAX(0,Assumptions!$D$85*IF(Assumptions!R$191=2027,1+Assumptions!$F$175,1)/12-1.5*Assumptions!R$202)))</f>
        <v>337.357815123793</v>
      </c>
      <c r="S82" s="65" t="n">
        <f aca="false">S18*(MIN(Assumptions!$D$85*IF(Assumptions!S$191=2027,1+Assumptions!$F$175,1)/12,Assumptions!S$202)*Assumptions!S$204+(Assumptions!S$206*MAX(0,MIN(Assumptions!$D$85*IF(Assumptions!S$191=2027,1+Assumptions!$F$175,1)/12,1.1*Assumptions!S$202)-Assumptions!S$202)+Assumptions!S$208*MAX(0,MIN(Assumptions!$D$85*IF(Assumptions!S$191=2027,1+Assumptions!$F$175,1)/12,1.5*Assumptions!S$202)-1.1*Assumptions!S$202)+Assumptions!S$210*MAX(0,Assumptions!$D$85*IF(Assumptions!S$191=2027,1+Assumptions!$F$175,1)/12-1.5*Assumptions!S$202)))</f>
        <v>337.35806630218</v>
      </c>
      <c r="T82" s="65" t="n">
        <f aca="false">T18*(MIN(Assumptions!$D$85*IF(Assumptions!T$191=2027,1+Assumptions!$F$175,1)/12,Assumptions!T$202)*Assumptions!T$204+(Assumptions!T$206*MAX(0,MIN(Assumptions!$D$85*IF(Assumptions!T$191=2027,1+Assumptions!$F$175,1)/12,1.1*Assumptions!T$202)-Assumptions!T$202)+Assumptions!T$208*MAX(0,MIN(Assumptions!$D$85*IF(Assumptions!T$191=2027,1+Assumptions!$F$175,1)/12,1.5*Assumptions!T$202)-1.1*Assumptions!T$202)+Assumptions!T$210*MAX(0,Assumptions!$D$85*IF(Assumptions!T$191=2027,1+Assumptions!$F$175,1)/12-1.5*Assumptions!T$202)))</f>
        <v>337.358119136959</v>
      </c>
      <c r="U82" s="65" t="n">
        <f aca="false">U18*(MIN(Assumptions!$D$85*IF(Assumptions!U$191=2027,1+Assumptions!$F$175,1)/12,Assumptions!U$202)*Assumptions!U$204+(Assumptions!U$206*MAX(0,MIN(Assumptions!$D$85*IF(Assumptions!U$191=2027,1+Assumptions!$F$175,1)/12,1.1*Assumptions!U$202)-Assumptions!U$202)+Assumptions!U$208*MAX(0,MIN(Assumptions!$D$85*IF(Assumptions!U$191=2027,1+Assumptions!$F$175,1)/12,1.5*Assumptions!U$202)-1.1*Assumptions!U$202)+Assumptions!U$210*MAX(0,Assumptions!$D$85*IF(Assumptions!U$191=2027,1+Assumptions!$F$175,1)/12-1.5*Assumptions!U$202)))</f>
        <v>337.358112803351</v>
      </c>
      <c r="V82" s="65" t="n">
        <f aca="false">V18*(MIN(Assumptions!$D$85*IF(Assumptions!V$191=2027,1+Assumptions!$F$175,1)/12,Assumptions!V$202)*Assumptions!V$204+(Assumptions!V$206*MAX(0,MIN(Assumptions!$D$85*IF(Assumptions!V$191=2027,1+Assumptions!$F$175,1)/12,1.1*Assumptions!V$202)-Assumptions!V$202)+Assumptions!V$208*MAX(0,MIN(Assumptions!$D$85*IF(Assumptions!V$191=2027,1+Assumptions!$F$175,1)/12,1.5*Assumptions!V$202)-1.1*Assumptions!V$202)+Assumptions!V$210*MAX(0,Assumptions!$D$85*IF(Assumptions!V$191=2027,1+Assumptions!$F$175,1)/12-1.5*Assumptions!V$202)))</f>
        <v>337.358111834577</v>
      </c>
      <c r="W82" s="65" t="n">
        <f aca="false">W18*(MIN(Assumptions!$D$85*IF(Assumptions!W$191=2027,1+Assumptions!$F$175,1)/12,Assumptions!W$202)*Assumptions!W$204+(Assumptions!W$206*MAX(0,MIN(Assumptions!$D$85*IF(Assumptions!W$191=2027,1+Assumptions!$F$175,1)/12,1.1*Assumptions!W$202)-Assumptions!W$202)+Assumptions!W$208*MAX(0,MIN(Assumptions!$D$85*IF(Assumptions!W$191=2027,1+Assumptions!$F$175,1)/12,1.5*Assumptions!W$202)-1.1*Assumptions!W$202)+Assumptions!W$210*MAX(0,Assumptions!$D$85*IF(Assumptions!W$191=2027,1+Assumptions!$F$175,1)/12-1.5*Assumptions!W$202)))</f>
        <v>337.35811198671</v>
      </c>
      <c r="X82" s="65" t="n">
        <f aca="false">X18*(MIN(Assumptions!$D$85*IF(Assumptions!X$191=2027,1+Assumptions!$F$175,1)/12,Assumptions!X$202)*Assumptions!X$204+(Assumptions!X$206*MAX(0,MIN(Assumptions!$D$85*IF(Assumptions!X$191=2027,1+Assumptions!$F$175,1)/12,1.1*Assumptions!X$202)-Assumptions!X$202)+Assumptions!X$208*MAX(0,MIN(Assumptions!$D$85*IF(Assumptions!X$191=2027,1+Assumptions!$F$175,1)/12,1.5*Assumptions!X$202)-1.1*Assumptions!X$202)+Assumptions!X$210*MAX(0,Assumptions!$D$85*IF(Assumptions!X$191=2027,1+Assumptions!$F$175,1)/12-1.5*Assumptions!X$202)))</f>
        <v>337.358112003723</v>
      </c>
      <c r="Y82" s="65" t="n">
        <f aca="false">Y18*(MIN(Assumptions!$D$85*IF(Assumptions!Y$191=2027,1+Assumptions!$F$175,1)/12,Assumptions!Y$202)*Assumptions!Y$204+(Assumptions!Y$206*MAX(0,MIN(Assumptions!$D$85*IF(Assumptions!Y$191=2027,1+Assumptions!$F$175,1)/12,1.1*Assumptions!Y$202)-Assumptions!Y$202)+Assumptions!Y$208*MAX(0,MIN(Assumptions!$D$85*IF(Assumptions!Y$191=2027,1+Assumptions!$F$175,1)/12,1.5*Assumptions!Y$202)-1.1*Assumptions!Y$202)+Assumptions!Y$210*MAX(0,Assumptions!$D$85*IF(Assumptions!Y$191=2027,1+Assumptions!$F$175,1)/12-1.5*Assumptions!Y$202)))</f>
        <v>337.358112000199</v>
      </c>
      <c r="Z82" s="65" t="n">
        <f aca="false">Z18*(MIN(Assumptions!$D$85*IF(Assumptions!Z$191=2027,1+Assumptions!$F$175,1)/12,Assumptions!Z$202)*Assumptions!Z$204+(Assumptions!Z$206*MAX(0,MIN(Assumptions!$D$85*IF(Assumptions!Z$191=2027,1+Assumptions!$F$175,1)/12,1.1*Assumptions!Z$202)-Assumptions!Z$202)+Assumptions!Z$208*MAX(0,MIN(Assumptions!$D$85*IF(Assumptions!Z$191=2027,1+Assumptions!$F$175,1)/12,1.5*Assumptions!Z$202)-1.1*Assumptions!Z$202)+Assumptions!Z$210*MAX(0,Assumptions!$D$85*IF(Assumptions!Z$191=2027,1+Assumptions!$F$175,1)/12-1.5*Assumptions!Z$202)))</f>
        <v>337.358111999918</v>
      </c>
      <c r="AA82" s="65" t="n">
        <f aca="false">AA18*(MIN(Assumptions!$D$85*IF(Assumptions!AA$191=2027,1+Assumptions!$F$175,1)/12,Assumptions!AA$202)*Assumptions!AA$204+(Assumptions!AA$206*MAX(0,MIN(Assumptions!$D$85*IF(Assumptions!AA$191=2027,1+Assumptions!$F$175,1)/12,1.1*Assumptions!AA$202)-Assumptions!AA$202)+Assumptions!AA$208*MAX(0,MIN(Assumptions!$D$85*IF(Assumptions!AA$191=2027,1+Assumptions!$F$175,1)/12,1.5*Assumptions!AA$202)-1.1*Assumptions!AA$202)+Assumptions!AA$210*MAX(0,Assumptions!$D$85*IF(Assumptions!AA$191=2027,1+Assumptions!$F$175,1)/12-1.5*Assumptions!AA$202)))</f>
        <v>337.358111999998</v>
      </c>
      <c r="AB82" s="65" t="n">
        <f aca="false">AB18*(MIN(Assumptions!$D$85*IF(Assumptions!AB$191=2027,1+Assumptions!$F$175,1)/12,Assumptions!AB$202)*Assumptions!AB$204+(Assumptions!AB$206*MAX(0,MIN(Assumptions!$D$85*IF(Assumptions!AB$191=2027,1+Assumptions!$F$175,1)/12,1.1*Assumptions!AB$202)-Assumptions!AB$202)+Assumptions!AB$208*MAX(0,MIN(Assumptions!$D$85*IF(Assumptions!AB$191=2027,1+Assumptions!$F$175,1)/12,1.5*Assumptions!AB$202)-1.1*Assumptions!AB$202)+Assumptions!AB$210*MAX(0,Assumptions!$D$85*IF(Assumptions!AB$191=2027,1+Assumptions!$F$175,1)/12-1.5*Assumptions!AB$202)))</f>
        <v>337.358112000002</v>
      </c>
    </row>
    <row r="83" customFormat="false" ht="15" hidden="false" customHeight="false" outlineLevel="0" collapsed="false">
      <c r="A83" s="28" t="s">
        <v>1132</v>
      </c>
      <c r="B83" s="63"/>
      <c r="C83" s="64" t="n">
        <f aca="false">SUM(E83:P83)</f>
        <v>24579.7299137822</v>
      </c>
      <c r="D83" s="64" t="n">
        <f aca="false">SUM(Q83:AB83)</f>
        <v>32096.2145851968</v>
      </c>
      <c r="E83" s="65" t="n">
        <f aca="false">E19*(MIN(Assumptions!$D$86*IF(Assumptions!E$191=2027,1+Assumptions!$F$175,1)/12,Assumptions!E$202)*Assumptions!E$204+(Assumptions!E$206*MAX(0,MIN(Assumptions!$D$86*IF(Assumptions!E$191=2027,1+Assumptions!$F$175,1)/12,1.1*Assumptions!E$202)-Assumptions!E$202)+Assumptions!E$208*MAX(0,MIN(Assumptions!$D$86*IF(Assumptions!E$191=2027,1+Assumptions!$F$175,1)/12,1.5*Assumptions!E$202)-1.1*Assumptions!E$202)+Assumptions!E$210*MAX(0,Assumptions!$D$86*IF(Assumptions!E$191=2027,1+Assumptions!$F$175,1)/12-1.5*Assumptions!E$202)))</f>
        <v>1950</v>
      </c>
      <c r="F83" s="65" t="n">
        <f aca="false">F19*(MIN(Assumptions!$D$86*IF(Assumptions!F$191=2027,1+Assumptions!$F$175,1)/12,Assumptions!F$202)*Assumptions!F$204+(Assumptions!F$206*MAX(0,MIN(Assumptions!$D$86*IF(Assumptions!F$191=2027,1+Assumptions!$F$175,1)/12,1.1*Assumptions!F$202)-Assumptions!F$202)+Assumptions!F$208*MAX(0,MIN(Assumptions!$D$86*IF(Assumptions!F$191=2027,1+Assumptions!$F$175,1)/12,1.5*Assumptions!F$202)-1.1*Assumptions!F$202)+Assumptions!F$210*MAX(0,Assumptions!$D$86*IF(Assumptions!F$191=2027,1+Assumptions!$F$175,1)/12-1.5*Assumptions!F$202)))</f>
        <v>1950</v>
      </c>
      <c r="G83" s="65" t="n">
        <f aca="false">G19*(MIN(Assumptions!$D$86*IF(Assumptions!G$191=2027,1+Assumptions!$F$175,1)/12,Assumptions!G$202)*Assumptions!G$204+(Assumptions!G$206*MAX(0,MIN(Assumptions!$D$86*IF(Assumptions!G$191=2027,1+Assumptions!$F$175,1)/12,1.1*Assumptions!G$202)-Assumptions!G$202)+Assumptions!G$208*MAX(0,MIN(Assumptions!$D$86*IF(Assumptions!G$191=2027,1+Assumptions!$F$175,1)/12,1.5*Assumptions!G$202)-1.1*Assumptions!G$202)+Assumptions!G$210*MAX(0,Assumptions!$D$86*IF(Assumptions!G$191=2027,1+Assumptions!$F$175,1)/12-1.5*Assumptions!G$202)))</f>
        <v>1950</v>
      </c>
      <c r="H83" s="65" t="n">
        <f aca="false">H19*(MIN(Assumptions!$D$86*IF(Assumptions!H$191=2027,1+Assumptions!$F$175,1)/12,Assumptions!H$202)*Assumptions!H$204+(Assumptions!H$206*MAX(0,MIN(Assumptions!$D$86*IF(Assumptions!H$191=2027,1+Assumptions!$F$175,1)/12,1.1*Assumptions!H$202)-Assumptions!H$202)+Assumptions!H$208*MAX(0,MIN(Assumptions!$D$86*IF(Assumptions!H$191=2027,1+Assumptions!$F$175,1)/12,1.5*Assumptions!H$202)-1.1*Assumptions!H$202)+Assumptions!H$210*MAX(0,Assumptions!$D$86*IF(Assumptions!H$191=2027,1+Assumptions!$F$175,1)/12-1.5*Assumptions!H$202)))</f>
        <v>2193.75</v>
      </c>
      <c r="I83" s="65" t="n">
        <f aca="false">I19*(MIN(Assumptions!$D$86*IF(Assumptions!I$191=2027,1+Assumptions!$F$175,1)/12,Assumptions!I$202)*Assumptions!I$204+(Assumptions!I$206*MAX(0,MIN(Assumptions!$D$86*IF(Assumptions!I$191=2027,1+Assumptions!$F$175,1)/12,1.1*Assumptions!I$202)-Assumptions!I$202)+Assumptions!I$208*MAX(0,MIN(Assumptions!$D$86*IF(Assumptions!I$191=2027,1+Assumptions!$F$175,1)/12,1.5*Assumptions!I$202)-1.1*Assumptions!I$202)+Assumptions!I$210*MAX(0,Assumptions!$D$86*IF(Assumptions!I$191=2027,1+Assumptions!$F$175,1)/12-1.5*Assumptions!I$202)))</f>
        <v>2193.75</v>
      </c>
      <c r="J83" s="65" t="n">
        <f aca="false">J19*(MIN(Assumptions!$D$86*IF(Assumptions!J$191=2027,1+Assumptions!$F$175,1)/12,Assumptions!J$202)*Assumptions!J$204+(Assumptions!J$206*MAX(0,MIN(Assumptions!$D$86*IF(Assumptions!J$191=2027,1+Assumptions!$F$175,1)/12,1.1*Assumptions!J$202)-Assumptions!J$202)+Assumptions!J$208*MAX(0,MIN(Assumptions!$D$86*IF(Assumptions!J$191=2027,1+Assumptions!$F$175,1)/12,1.5*Assumptions!J$202)-1.1*Assumptions!J$202)+Assumptions!J$210*MAX(0,Assumptions!$D$86*IF(Assumptions!J$191=2027,1+Assumptions!$F$175,1)/12-1.5*Assumptions!J$202)))</f>
        <v>2193.75</v>
      </c>
      <c r="K83" s="65" t="n">
        <f aca="false">K19*(MIN(Assumptions!$D$86*IF(Assumptions!K$191=2027,1+Assumptions!$F$175,1)/12,Assumptions!K$202)*Assumptions!K$204+(Assumptions!K$206*MAX(0,MIN(Assumptions!$D$86*IF(Assumptions!K$191=2027,1+Assumptions!$F$175,1)/12,1.1*Assumptions!K$202)-Assumptions!K$202)+Assumptions!K$208*MAX(0,MIN(Assumptions!$D$86*IF(Assumptions!K$191=2027,1+Assumptions!$F$175,1)/12,1.5*Assumptions!K$202)-1.1*Assumptions!K$202)+Assumptions!K$210*MAX(0,Assumptions!$D$86*IF(Assumptions!K$191=2027,1+Assumptions!$F$175,1)/12-1.5*Assumptions!K$202)))</f>
        <v>2193.75</v>
      </c>
      <c r="L83" s="65" t="n">
        <f aca="false">L19*(MIN(Assumptions!$D$86*IF(Assumptions!L$191=2027,1+Assumptions!$F$175,1)/12,Assumptions!L$202)*Assumptions!L$204+(Assumptions!L$206*MAX(0,MIN(Assumptions!$D$86*IF(Assumptions!L$191=2027,1+Assumptions!$F$175,1)/12,1.1*Assumptions!L$202)-Assumptions!L$202)+Assumptions!L$208*MAX(0,MIN(Assumptions!$D$86*IF(Assumptions!L$191=2027,1+Assumptions!$F$175,1)/12,1.5*Assumptions!L$202)-1.1*Assumptions!L$202)+Assumptions!L$210*MAX(0,Assumptions!$D$86*IF(Assumptions!L$191=2027,1+Assumptions!$F$175,1)/12-1.5*Assumptions!L$202)))</f>
        <v>1950</v>
      </c>
      <c r="M83" s="65" t="n">
        <f aca="false">M19*(MIN(Assumptions!$D$86*IF(Assumptions!M$191=2027,1+Assumptions!$F$175,1)/12,Assumptions!M$202)*Assumptions!M$204+(Assumptions!M$206*MAX(0,MIN(Assumptions!$D$86*IF(Assumptions!M$191=2027,1+Assumptions!$F$175,1)/12,1.1*Assumptions!M$202)-Assumptions!M$202)+Assumptions!M$208*MAX(0,MIN(Assumptions!$D$86*IF(Assumptions!M$191=2027,1+Assumptions!$F$175,1)/12,1.5*Assumptions!M$202)-1.1*Assumptions!M$202)+Assumptions!M$210*MAX(0,Assumptions!$D$86*IF(Assumptions!M$191=2027,1+Assumptions!$F$175,1)/12-1.5*Assumptions!M$202)))</f>
        <v>1909.375</v>
      </c>
      <c r="N83" s="65" t="n">
        <f aca="false">N19*(MIN(Assumptions!$D$86*IF(Assumptions!N$191=2027,1+Assumptions!$F$175,1)/12,Assumptions!N$202)*Assumptions!N$204+(Assumptions!N$206*MAX(0,MIN(Assumptions!$D$86*IF(Assumptions!N$191=2027,1+Assumptions!$F$175,1)/12,1.1*Assumptions!N$202)-Assumptions!N$202)+Assumptions!N$208*MAX(0,MIN(Assumptions!$D$86*IF(Assumptions!N$191=2027,1+Assumptions!$F$175,1)/12,1.5*Assumptions!N$202)-1.1*Assumptions!N$202)+Assumptions!N$210*MAX(0,Assumptions!$D$86*IF(Assumptions!N$191=2027,1+Assumptions!$F$175,1)/12-1.5*Assumptions!N$202)))</f>
        <v>1869.59635416667</v>
      </c>
      <c r="O83" s="65" t="n">
        <f aca="false">O19*(MIN(Assumptions!$D$86*IF(Assumptions!O$191=2027,1+Assumptions!$F$175,1)/12,Assumptions!O$202)*Assumptions!O$204+(Assumptions!O$206*MAX(0,MIN(Assumptions!$D$86*IF(Assumptions!O$191=2027,1+Assumptions!$F$175,1)/12,1.1*Assumptions!O$202)-Assumptions!O$202)+Assumptions!O$208*MAX(0,MIN(Assumptions!$D$86*IF(Assumptions!O$191=2027,1+Assumptions!$F$175,1)/12,1.5*Assumptions!O$202)-1.1*Assumptions!O$202)+Assumptions!O$210*MAX(0,Assumptions!$D$86*IF(Assumptions!O$191=2027,1+Assumptions!$F$175,1)/12-1.5*Assumptions!O$202)))</f>
        <v>2115.02143012153</v>
      </c>
      <c r="P83" s="65" t="n">
        <f aca="false">P19*(MIN(Assumptions!$D$86*IF(Assumptions!P$191=2027,1+Assumptions!$F$175,1)/12,Assumptions!P$202)*Assumptions!P$204+(Assumptions!P$206*MAX(0,MIN(Assumptions!$D$86*IF(Assumptions!P$191=2027,1+Assumptions!$F$175,1)/12,1.1*Assumptions!P$202)-Assumptions!P$202)+Assumptions!P$208*MAX(0,MIN(Assumptions!$D$86*IF(Assumptions!P$191=2027,1+Assumptions!$F$175,1)/12,1.5*Assumptions!P$202)-1.1*Assumptions!P$202)+Assumptions!P$210*MAX(0,Assumptions!$D$86*IF(Assumptions!P$191=2027,1+Assumptions!$F$175,1)/12-1.5*Assumptions!P$202)))</f>
        <v>2110.737129494</v>
      </c>
      <c r="Q83" s="65" t="n">
        <f aca="false">Q19*(MIN(Assumptions!$D$86*IF(Assumptions!Q$191=2027,1+Assumptions!$F$175,1)/12,Assumptions!Q$202)*Assumptions!Q$204+(Assumptions!Q$206*MAX(0,MIN(Assumptions!$D$86*IF(Assumptions!Q$191=2027,1+Assumptions!$F$175,1)/12,1.1*Assumptions!Q$202)-Assumptions!Q$202)+Assumptions!Q$208*MAX(0,MIN(Assumptions!$D$86*IF(Assumptions!Q$191=2027,1+Assumptions!$F$175,1)/12,1.5*Assumptions!Q$202)-1.1*Assumptions!Q$202)+Assumptions!Q$210*MAX(0,Assumptions!$D$86*IF(Assumptions!Q$191=2027,1+Assumptions!$F$175,1)/12-1.5*Assumptions!Q$202)))</f>
        <v>2692.23421823078</v>
      </c>
      <c r="R83" s="65" t="n">
        <f aca="false">R19*(MIN(Assumptions!$D$86*IF(Assumptions!R$191=2027,1+Assumptions!$F$175,1)/12,Assumptions!R$202)*Assumptions!R$204+(Assumptions!R$206*MAX(0,MIN(Assumptions!$D$86*IF(Assumptions!R$191=2027,1+Assumptions!$F$175,1)/12,1.1*Assumptions!R$202)-Assumptions!R$202)+Assumptions!R$208*MAX(0,MIN(Assumptions!$D$86*IF(Assumptions!R$191=2027,1+Assumptions!$F$175,1)/12,1.5*Assumptions!R$202)-1.1*Assumptions!R$202)+Assumptions!R$210*MAX(0,Assumptions!$D$86*IF(Assumptions!R$191=2027,1+Assumptions!$F$175,1)/12-1.5*Assumptions!R$202)))</f>
        <v>2681.89147847516</v>
      </c>
      <c r="S83" s="65" t="n">
        <f aca="false">S19*(MIN(Assumptions!$D$86*IF(Assumptions!S$191=2027,1+Assumptions!$F$175,1)/12,Assumptions!S$202)*Assumptions!S$204+(Assumptions!S$206*MAX(0,MIN(Assumptions!$D$86*IF(Assumptions!S$191=2027,1+Assumptions!$F$175,1)/12,1.1*Assumptions!S$202)-Assumptions!S$202)+Assumptions!S$208*MAX(0,MIN(Assumptions!$D$86*IF(Assumptions!S$191=2027,1+Assumptions!$F$175,1)/12,1.5*Assumptions!S$202)-1.1*Assumptions!S$202)+Assumptions!S$210*MAX(0,Assumptions!$D$86*IF(Assumptions!S$191=2027,1+Assumptions!$F$175,1)/12-1.5*Assumptions!S$202)))</f>
        <v>2671.67154798529</v>
      </c>
      <c r="T83" s="65" t="n">
        <f aca="false">T19*(MIN(Assumptions!$D$86*IF(Assumptions!T$191=2027,1+Assumptions!$F$175,1)/12,Assumptions!T$202)*Assumptions!T$204+(Assumptions!T$206*MAX(0,MIN(Assumptions!$D$86*IF(Assumptions!T$191=2027,1+Assumptions!$F$175,1)/12,1.1*Assumptions!T$202)-Assumptions!T$202)+Assumptions!T$208*MAX(0,MIN(Assumptions!$D$86*IF(Assumptions!T$191=2027,1+Assumptions!$F$175,1)/12,1.5*Assumptions!T$202)-1.1*Assumptions!T$202)+Assumptions!T$210*MAX(0,Assumptions!$D$86*IF(Assumptions!T$191=2027,1+Assumptions!$F$175,1)/12-1.5*Assumptions!T$202)))</f>
        <v>2672.09993694874</v>
      </c>
      <c r="U83" s="65" t="n">
        <f aca="false">U19*(MIN(Assumptions!$D$86*IF(Assumptions!U$191=2027,1+Assumptions!$F$175,1)/12,Assumptions!U$202)*Assumptions!U$204+(Assumptions!U$206*MAX(0,MIN(Assumptions!$D$86*IF(Assumptions!U$191=2027,1+Assumptions!$F$175,1)/12,1.1*Assumptions!U$202)-Assumptions!U$202)+Assumptions!U$208*MAX(0,MIN(Assumptions!$D$86*IF(Assumptions!U$191=2027,1+Assumptions!$F$175,1)/12,1.5*Assumptions!U$202)-1.1*Assumptions!U$202)+Assumptions!U$210*MAX(0,Assumptions!$D$86*IF(Assumptions!U$191=2027,1+Assumptions!$F$175,1)/12-1.5*Assumptions!U$202)))</f>
        <v>2672.30392739721</v>
      </c>
      <c r="V83" s="65" t="n">
        <f aca="false">V19*(MIN(Assumptions!$D$86*IF(Assumptions!V$191=2027,1+Assumptions!$F$175,1)/12,Assumptions!V$202)*Assumptions!V$204+(Assumptions!V$206*MAX(0,MIN(Assumptions!$D$86*IF(Assumptions!V$191=2027,1+Assumptions!$F$175,1)/12,1.1*Assumptions!V$202)-Assumptions!V$202)+Assumptions!V$208*MAX(0,MIN(Assumptions!$D$86*IF(Assumptions!V$191=2027,1+Assumptions!$F$175,1)/12,1.5*Assumptions!V$202)-1.1*Assumptions!V$202)+Assumptions!V$210*MAX(0,Assumptions!$D$86*IF(Assumptions!V$191=2027,1+Assumptions!$F$175,1)/12-1.5*Assumptions!V$202)))</f>
        <v>2672.29075282613</v>
      </c>
      <c r="W83" s="65" t="n">
        <f aca="false">W19*(MIN(Assumptions!$D$86*IF(Assumptions!W$191=2027,1+Assumptions!$F$175,1)/12,Assumptions!W$202)*Assumptions!W$204+(Assumptions!W$206*MAX(0,MIN(Assumptions!$D$86*IF(Assumptions!W$191=2027,1+Assumptions!$F$175,1)/12,1.1*Assumptions!W$202)-Assumptions!W$202)+Assumptions!W$208*MAX(0,MIN(Assumptions!$D$86*IF(Assumptions!W$191=2027,1+Assumptions!$F$175,1)/12,1.5*Assumptions!W$202)-1.1*Assumptions!W$202)+Assumptions!W$210*MAX(0,Assumptions!$D$86*IF(Assumptions!W$191=2027,1+Assumptions!$F$175,1)/12-1.5*Assumptions!W$202)))</f>
        <v>2672.28677749535</v>
      </c>
      <c r="X83" s="65" t="n">
        <f aca="false">X19*(MIN(Assumptions!$D$86*IF(Assumptions!X$191=2027,1+Assumptions!$F$175,1)/12,Assumptions!X$202)*Assumptions!X$204+(Assumptions!X$206*MAX(0,MIN(Assumptions!$D$86*IF(Assumptions!X$191=2027,1+Assumptions!$F$175,1)/12,1.1*Assumptions!X$202)-Assumptions!X$202)+Assumptions!X$208*MAX(0,MIN(Assumptions!$D$86*IF(Assumptions!X$191=2027,1+Assumptions!$F$175,1)/12,1.5*Assumptions!X$202)-1.1*Assumptions!X$202)+Assumptions!X$210*MAX(0,Assumptions!$D$86*IF(Assumptions!X$191=2027,1+Assumptions!$F$175,1)/12-1.5*Assumptions!X$202)))</f>
        <v>2672.28713478497</v>
      </c>
      <c r="Y83" s="65" t="n">
        <f aca="false">Y19*(MIN(Assumptions!$D$86*IF(Assumptions!Y$191=2027,1+Assumptions!$F$175,1)/12,Assumptions!Y$202)*Assumptions!Y$204+(Assumptions!Y$206*MAX(0,MIN(Assumptions!$D$86*IF(Assumptions!Y$191=2027,1+Assumptions!$F$175,1)/12,1.1*Assumptions!Y$202)-Assumptions!Y$202)+Assumptions!Y$208*MAX(0,MIN(Assumptions!$D$86*IF(Assumptions!Y$191=2027,1+Assumptions!$F$175,1)/12,1.5*Assumptions!Y$202)-1.1*Assumptions!Y$202)+Assumptions!Y$210*MAX(0,Assumptions!$D$86*IF(Assumptions!Y$191=2027,1+Assumptions!$F$175,1)/12-1.5*Assumptions!Y$202)))</f>
        <v>2672.28721016083</v>
      </c>
      <c r="Z83" s="65" t="n">
        <f aca="false">Z19*(MIN(Assumptions!$D$86*IF(Assumptions!Z$191=2027,1+Assumptions!$F$175,1)/12,Assumptions!Z$202)*Assumptions!Z$204+(Assumptions!Z$206*MAX(0,MIN(Assumptions!$D$86*IF(Assumptions!Z$191=2027,1+Assumptions!$F$175,1)/12,1.1*Assumptions!Z$202)-Assumptions!Z$202)+Assumptions!Z$208*MAX(0,MIN(Assumptions!$D$86*IF(Assumptions!Z$191=2027,1+Assumptions!$F$175,1)/12,1.5*Assumptions!Z$202)-1.1*Assumptions!Z$202)+Assumptions!Z$210*MAX(0,Assumptions!$D$86*IF(Assumptions!Z$191=2027,1+Assumptions!$F$175,1)/12-1.5*Assumptions!Z$202)))</f>
        <v>2672.28720114696</v>
      </c>
      <c r="AA83" s="65" t="n">
        <f aca="false">AA19*(MIN(Assumptions!$D$86*IF(Assumptions!AA$191=2027,1+Assumptions!$F$175,1)/12,Assumptions!AA$202)*Assumptions!AA$204+(Assumptions!AA$206*MAX(0,MIN(Assumptions!$D$86*IF(Assumptions!AA$191=2027,1+Assumptions!$F$175,1)/12,1.1*Assumptions!AA$202)-Assumptions!AA$202)+Assumptions!AA$208*MAX(0,MIN(Assumptions!$D$86*IF(Assumptions!AA$191=2027,1+Assumptions!$F$175,1)/12,1.5*Assumptions!AA$202)-1.1*Assumptions!AA$202)+Assumptions!AA$210*MAX(0,Assumptions!$D$86*IF(Assumptions!AA$191=2027,1+Assumptions!$F$175,1)/12-1.5*Assumptions!AA$202)))</f>
        <v>2672.28719976442</v>
      </c>
      <c r="AB83" s="65" t="n">
        <f aca="false">AB19*(MIN(Assumptions!$D$86*IF(Assumptions!AB$191=2027,1+Assumptions!$F$175,1)/12,Assumptions!AB$202)*Assumptions!AB$204+(Assumptions!AB$206*MAX(0,MIN(Assumptions!$D$86*IF(Assumptions!AB$191=2027,1+Assumptions!$F$175,1)/12,1.1*Assumptions!AB$202)-Assumptions!AB$202)+Assumptions!AB$208*MAX(0,MIN(Assumptions!$D$86*IF(Assumptions!AB$191=2027,1+Assumptions!$F$175,1)/12,1.5*Assumptions!AB$202)-1.1*Assumptions!AB$202)+Assumptions!AB$210*MAX(0,Assumptions!$D$86*IF(Assumptions!AB$191=2027,1+Assumptions!$F$175,1)/12-1.5*Assumptions!AB$202)))</f>
        <v>2672.28719998101</v>
      </c>
    </row>
    <row r="84" customFormat="false" ht="15" hidden="false" customHeight="false" outlineLevel="0" collapsed="false">
      <c r="A84" s="28" t="s">
        <v>1133</v>
      </c>
      <c r="B84" s="63"/>
      <c r="C84" s="64" t="n">
        <f aca="false">SUM(E84:P84)</f>
        <v>10487.077084765</v>
      </c>
      <c r="D84" s="64" t="n">
        <f aca="false">SUM(Q84:AB84)</f>
        <v>12101.849772365</v>
      </c>
      <c r="E84" s="65" t="n">
        <f aca="false">E20*(MIN(Assumptions!$D$87*IF(Assumptions!E$191=2027,1+Assumptions!$F$175,1)/12,Assumptions!E$202)*Assumptions!E$204+(Assumptions!E$206*MAX(0,MIN(Assumptions!$D$87*IF(Assumptions!E$191=2027,1+Assumptions!$F$175,1)/12,1.1*Assumptions!E$202)-Assumptions!E$202)+Assumptions!E$208*MAX(0,MIN(Assumptions!$D$87*IF(Assumptions!E$191=2027,1+Assumptions!$F$175,1)/12,1.5*Assumptions!E$202)-1.1*Assumptions!E$202)+Assumptions!E$210*MAX(0,Assumptions!$D$87*IF(Assumptions!E$191=2027,1+Assumptions!$F$175,1)/12-1.5*Assumptions!E$202)))</f>
        <v>758.333333333334</v>
      </c>
      <c r="F84" s="65" t="n">
        <f aca="false">F20*(MIN(Assumptions!$D$87*IF(Assumptions!F$191=2027,1+Assumptions!$F$175,1)/12,Assumptions!F$202)*Assumptions!F$204+(Assumptions!F$206*MAX(0,MIN(Assumptions!$D$87*IF(Assumptions!F$191=2027,1+Assumptions!$F$175,1)/12,1.1*Assumptions!F$202)-Assumptions!F$202)+Assumptions!F$208*MAX(0,MIN(Assumptions!$D$87*IF(Assumptions!F$191=2027,1+Assumptions!$F$175,1)/12,1.5*Assumptions!F$202)-1.1*Assumptions!F$202)+Assumptions!F$210*MAX(0,Assumptions!$D$87*IF(Assumptions!F$191=2027,1+Assumptions!$F$175,1)/12-1.5*Assumptions!F$202)))</f>
        <v>758.333333333334</v>
      </c>
      <c r="G84" s="65" t="n">
        <f aca="false">G20*(MIN(Assumptions!$D$87*IF(Assumptions!G$191=2027,1+Assumptions!$F$175,1)/12,Assumptions!G$202)*Assumptions!G$204+(Assumptions!G$206*MAX(0,MIN(Assumptions!$D$87*IF(Assumptions!G$191=2027,1+Assumptions!$F$175,1)/12,1.1*Assumptions!G$202)-Assumptions!G$202)+Assumptions!G$208*MAX(0,MIN(Assumptions!$D$87*IF(Assumptions!G$191=2027,1+Assumptions!$F$175,1)/12,1.5*Assumptions!G$202)-1.1*Assumptions!G$202)+Assumptions!G$210*MAX(0,Assumptions!$D$87*IF(Assumptions!G$191=2027,1+Assumptions!$F$175,1)/12-1.5*Assumptions!G$202)))</f>
        <v>910</v>
      </c>
      <c r="H84" s="65" t="n">
        <f aca="false">H20*(MIN(Assumptions!$D$87*IF(Assumptions!H$191=2027,1+Assumptions!$F$175,1)/12,Assumptions!H$202)*Assumptions!H$204+(Assumptions!H$206*MAX(0,MIN(Assumptions!$D$87*IF(Assumptions!H$191=2027,1+Assumptions!$F$175,1)/12,1.1*Assumptions!H$202)-Assumptions!H$202)+Assumptions!H$208*MAX(0,MIN(Assumptions!$D$87*IF(Assumptions!H$191=2027,1+Assumptions!$F$175,1)/12,1.5*Assumptions!H$202)-1.1*Assumptions!H$202)+Assumptions!H$210*MAX(0,Assumptions!$D$87*IF(Assumptions!H$191=2027,1+Assumptions!$F$175,1)/12-1.5*Assumptions!H$202)))</f>
        <v>910</v>
      </c>
      <c r="I84" s="65" t="n">
        <f aca="false">I20*(MIN(Assumptions!$D$87*IF(Assumptions!I$191=2027,1+Assumptions!$F$175,1)/12,Assumptions!I$202)*Assumptions!I$204+(Assumptions!I$206*MAX(0,MIN(Assumptions!$D$87*IF(Assumptions!I$191=2027,1+Assumptions!$F$175,1)/12,1.1*Assumptions!I$202)-Assumptions!I$202)+Assumptions!I$208*MAX(0,MIN(Assumptions!$D$87*IF(Assumptions!I$191=2027,1+Assumptions!$F$175,1)/12,1.5*Assumptions!I$202)-1.1*Assumptions!I$202)+Assumptions!I$210*MAX(0,Assumptions!$D$87*IF(Assumptions!I$191=2027,1+Assumptions!$F$175,1)/12-1.5*Assumptions!I$202)))</f>
        <v>910</v>
      </c>
      <c r="J84" s="65" t="n">
        <f aca="false">J20*(MIN(Assumptions!$D$87*IF(Assumptions!J$191=2027,1+Assumptions!$F$175,1)/12,Assumptions!J$202)*Assumptions!J$204+(Assumptions!J$206*MAX(0,MIN(Assumptions!$D$87*IF(Assumptions!J$191=2027,1+Assumptions!$F$175,1)/12,1.1*Assumptions!J$202)-Assumptions!J$202)+Assumptions!J$208*MAX(0,MIN(Assumptions!$D$87*IF(Assumptions!J$191=2027,1+Assumptions!$F$175,1)/12,1.5*Assumptions!J$202)-1.1*Assumptions!J$202)+Assumptions!J$210*MAX(0,Assumptions!$D$87*IF(Assumptions!J$191=2027,1+Assumptions!$F$175,1)/12-1.5*Assumptions!J$202)))</f>
        <v>910</v>
      </c>
      <c r="K84" s="65" t="n">
        <f aca="false">K20*(MIN(Assumptions!$D$87*IF(Assumptions!K$191=2027,1+Assumptions!$F$175,1)/12,Assumptions!K$202)*Assumptions!K$204+(Assumptions!K$206*MAX(0,MIN(Assumptions!$D$87*IF(Assumptions!K$191=2027,1+Assumptions!$F$175,1)/12,1.1*Assumptions!K$202)-Assumptions!K$202)+Assumptions!K$208*MAX(0,MIN(Assumptions!$D$87*IF(Assumptions!K$191=2027,1+Assumptions!$F$175,1)/12,1.5*Assumptions!K$202)-1.1*Assumptions!K$202)+Assumptions!K$210*MAX(0,Assumptions!$D$87*IF(Assumptions!K$191=2027,1+Assumptions!$F$175,1)/12-1.5*Assumptions!K$202)))</f>
        <v>910</v>
      </c>
      <c r="L84" s="65" t="n">
        <f aca="false">L20*(MIN(Assumptions!$D$87*IF(Assumptions!L$191=2027,1+Assumptions!$F$175,1)/12,Assumptions!L$202)*Assumptions!L$204+(Assumptions!L$206*MAX(0,MIN(Assumptions!$D$87*IF(Assumptions!L$191=2027,1+Assumptions!$F$175,1)/12,1.1*Assumptions!L$202)-Assumptions!L$202)+Assumptions!L$208*MAX(0,MIN(Assumptions!$D$87*IF(Assumptions!L$191=2027,1+Assumptions!$F$175,1)/12,1.5*Assumptions!L$202)-1.1*Assumptions!L$202)+Assumptions!L$210*MAX(0,Assumptions!$D$87*IF(Assumptions!L$191=2027,1+Assumptions!$F$175,1)/12-1.5*Assumptions!L$202)))</f>
        <v>910</v>
      </c>
      <c r="M84" s="65" t="n">
        <f aca="false">M20*(MIN(Assumptions!$D$87*IF(Assumptions!M$191=2027,1+Assumptions!$F$175,1)/12,Assumptions!M$202)*Assumptions!M$204+(Assumptions!M$206*MAX(0,MIN(Assumptions!$D$87*IF(Assumptions!M$191=2027,1+Assumptions!$F$175,1)/12,1.1*Assumptions!M$202)-Assumptions!M$202)+Assumptions!M$208*MAX(0,MIN(Assumptions!$D$87*IF(Assumptions!M$191=2027,1+Assumptions!$F$175,1)/12,1.5*Assumptions!M$202)-1.1*Assumptions!M$202)+Assumptions!M$210*MAX(0,Assumptions!$D$87*IF(Assumptions!M$191=2027,1+Assumptions!$F$175,1)/12-1.5*Assumptions!M$202)))</f>
        <v>891.041666666667</v>
      </c>
      <c r="N84" s="65" t="n">
        <f aca="false">N20*(MIN(Assumptions!$D$87*IF(Assumptions!N$191=2027,1+Assumptions!$F$175,1)/12,Assumptions!N$202)*Assumptions!N$204+(Assumptions!N$206*MAX(0,MIN(Assumptions!$D$87*IF(Assumptions!N$191=2027,1+Assumptions!$F$175,1)/12,1.1*Assumptions!N$202)-Assumptions!N$202)+Assumptions!N$208*MAX(0,MIN(Assumptions!$D$87*IF(Assumptions!N$191=2027,1+Assumptions!$F$175,1)/12,1.5*Assumptions!N$202)-1.1*Assumptions!N$202)+Assumptions!N$210*MAX(0,Assumptions!$D$87*IF(Assumptions!N$191=2027,1+Assumptions!$F$175,1)/12-1.5*Assumptions!N$202)))</f>
        <v>872.478298611111</v>
      </c>
      <c r="O84" s="65" t="n">
        <f aca="false">O20*(MIN(Assumptions!$D$87*IF(Assumptions!O$191=2027,1+Assumptions!$F$175,1)/12,Assumptions!O$202)*Assumptions!O$204+(Assumptions!O$206*MAX(0,MIN(Assumptions!$D$87*IF(Assumptions!O$191=2027,1+Assumptions!$F$175,1)/12,1.1*Assumptions!O$202)-Assumptions!O$202)+Assumptions!O$208*MAX(0,MIN(Assumptions!$D$87*IF(Assumptions!O$191=2027,1+Assumptions!$F$175,1)/12,1.5*Assumptions!O$202)-1.1*Assumptions!O$202)+Assumptions!O$210*MAX(0,Assumptions!$D$87*IF(Assumptions!O$191=2027,1+Assumptions!$F$175,1)/12-1.5*Assumptions!O$202)))</f>
        <v>873.26000072338</v>
      </c>
      <c r="P84" s="65" t="n">
        <f aca="false">P20*(MIN(Assumptions!$D$87*IF(Assumptions!P$191=2027,1+Assumptions!$F$175,1)/12,Assumptions!P$202)*Assumptions!P$204+(Assumptions!P$206*MAX(0,MIN(Assumptions!$D$87*IF(Assumptions!P$191=2027,1+Assumptions!$F$175,1)/12,1.1*Assumptions!P$202)-Assumptions!P$202)+Assumptions!P$208*MAX(0,MIN(Assumptions!$D$87*IF(Assumptions!P$191=2027,1+Assumptions!$F$175,1)/12,1.5*Assumptions!P$202)-1.1*Assumptions!P$202)+Assumptions!P$210*MAX(0,Assumptions!$D$87*IF(Assumptions!P$191=2027,1+Assumptions!$F$175,1)/12-1.5*Assumptions!P$202)))</f>
        <v>873.630452097198</v>
      </c>
      <c r="Q84" s="65" t="n">
        <f aca="false">Q20*(MIN(Assumptions!$D$87*IF(Assumptions!Q$191=2027,1+Assumptions!$F$175,1)/12,Assumptions!Q$202)*Assumptions!Q$204+(Assumptions!Q$206*MAX(0,MIN(Assumptions!$D$87*IF(Assumptions!Q$191=2027,1+Assumptions!$F$175,1)/12,1.1*Assumptions!Q$202)-Assumptions!Q$202)+Assumptions!Q$208*MAX(0,MIN(Assumptions!$D$87*IF(Assumptions!Q$191=2027,1+Assumptions!$F$175,1)/12,1.5*Assumptions!Q$202)-1.1*Assumptions!Q$202)+Assumptions!Q$210*MAX(0,Assumptions!$D$87*IF(Assumptions!Q$191=2027,1+Assumptions!$F$175,1)/12-1.5*Assumptions!Q$202)))</f>
        <v>906.964775148321</v>
      </c>
      <c r="R84" s="65" t="n">
        <f aca="false">R20*(MIN(Assumptions!$D$87*IF(Assumptions!R$191=2027,1+Assumptions!$F$175,1)/12,Assumptions!R$202)*Assumptions!R$204+(Assumptions!R$206*MAX(0,MIN(Assumptions!$D$87*IF(Assumptions!R$191=2027,1+Assumptions!$F$175,1)/12,1.1*Assumptions!R$202)-Assumptions!R$202)+Assumptions!R$208*MAX(0,MIN(Assumptions!$D$87*IF(Assumptions!R$191=2027,1+Assumptions!$F$175,1)/12,1.5*Assumptions!R$202)-1.1*Assumptions!R$202)+Assumptions!R$210*MAX(0,Assumptions!$D$87*IF(Assumptions!R$191=2027,1+Assumptions!$F$175,1)/12-1.5*Assumptions!R$202)))</f>
        <v>906.957281874018</v>
      </c>
      <c r="S84" s="65" t="n">
        <f aca="false">S20*(MIN(Assumptions!$D$87*IF(Assumptions!S$191=2027,1+Assumptions!$F$175,1)/12,Assumptions!S$202)*Assumptions!S$204+(Assumptions!S$206*MAX(0,MIN(Assumptions!$D$87*IF(Assumptions!S$191=2027,1+Assumptions!$F$175,1)/12,1.1*Assumptions!S$202)-Assumptions!S$202)+Assumptions!S$208*MAX(0,MIN(Assumptions!$D$87*IF(Assumptions!S$191=2027,1+Assumptions!$F$175,1)/12,1.5*Assumptions!S$202)-1.1*Assumptions!S$202)+Assumptions!S$210*MAX(0,Assumptions!$D$87*IF(Assumptions!S$191=2027,1+Assumptions!$F$175,1)/12-1.5*Assumptions!S$202)))</f>
        <v>906.957957145368</v>
      </c>
      <c r="T84" s="65" t="n">
        <f aca="false">T20*(MIN(Assumptions!$D$87*IF(Assumptions!T$191=2027,1+Assumptions!$F$175,1)/12,Assumptions!T$202)*Assumptions!T$204+(Assumptions!T$206*MAX(0,MIN(Assumptions!$D$87*IF(Assumptions!T$191=2027,1+Assumptions!$F$175,1)/12,1.1*Assumptions!T$202)-Assumptions!T$202)+Assumptions!T$208*MAX(0,MIN(Assumptions!$D$87*IF(Assumptions!T$191=2027,1+Assumptions!$F$175,1)/12,1.5*Assumptions!T$202)-1.1*Assumptions!T$202)+Assumptions!T$210*MAX(0,Assumptions!$D$87*IF(Assumptions!T$191=2027,1+Assumptions!$F$175,1)/12-1.5*Assumptions!T$202)))</f>
        <v>906.958099187096</v>
      </c>
      <c r="U84" s="65" t="n">
        <f aca="false">U20*(MIN(Assumptions!$D$87*IF(Assumptions!U$191=2027,1+Assumptions!$F$175,1)/12,Assumptions!U$202)*Assumptions!U$204+(Assumptions!U$206*MAX(0,MIN(Assumptions!$D$87*IF(Assumptions!U$191=2027,1+Assumptions!$F$175,1)/12,1.1*Assumptions!U$202)-Assumptions!U$202)+Assumptions!U$208*MAX(0,MIN(Assumptions!$D$87*IF(Assumptions!U$191=2027,1+Assumptions!$F$175,1)/12,1.5*Assumptions!U$202)-1.1*Assumptions!U$202)+Assumptions!U$210*MAX(0,Assumptions!$D$87*IF(Assumptions!U$191=2027,1+Assumptions!$F$175,1)/12-1.5*Assumptions!U$202)))</f>
        <v>1064.41608215974</v>
      </c>
      <c r="V84" s="65" t="n">
        <f aca="false">V20*(MIN(Assumptions!$D$87*IF(Assumptions!V$191=2027,1+Assumptions!$F$175,1)/12,Assumptions!V$202)*Assumptions!V$204+(Assumptions!V$206*MAX(0,MIN(Assumptions!$D$87*IF(Assumptions!V$191=2027,1+Assumptions!$F$175,1)/12,1.1*Assumptions!V$202)-Assumptions!V$202)+Assumptions!V$208*MAX(0,MIN(Assumptions!$D$87*IF(Assumptions!V$191=2027,1+Assumptions!$F$175,1)/12,1.5*Assumptions!V$202)-1.1*Assumptions!V$202)+Assumptions!V$210*MAX(0,Assumptions!$D$87*IF(Assumptions!V$191=2027,1+Assumptions!$F$175,1)/12-1.5*Assumptions!V$202)))</f>
        <v>1061.13570455527</v>
      </c>
      <c r="W84" s="65" t="n">
        <f aca="false">W20*(MIN(Assumptions!$D$87*IF(Assumptions!W$191=2027,1+Assumptions!$F$175,1)/12,Assumptions!W$202)*Assumptions!W$204+(Assumptions!W$206*MAX(0,MIN(Assumptions!$D$87*IF(Assumptions!W$191=2027,1+Assumptions!$F$175,1)/12,1.1*Assumptions!W$202)-Assumptions!W$202)+Assumptions!W$208*MAX(0,MIN(Assumptions!$D$87*IF(Assumptions!W$191=2027,1+Assumptions!$F$175,1)/12,1.5*Assumptions!W$202)-1.1*Assumptions!W$202)+Assumptions!W$210*MAX(0,Assumptions!$D$87*IF(Assumptions!W$191=2027,1+Assumptions!$F$175,1)/12-1.5*Assumptions!W$202)))</f>
        <v>1057.9236711101</v>
      </c>
      <c r="X84" s="65" t="n">
        <f aca="false">X20*(MIN(Assumptions!$D$87*IF(Assumptions!X$191=2027,1+Assumptions!$F$175,1)/12,Assumptions!X$202)*Assumptions!X$204+(Assumptions!X$206*MAX(0,MIN(Assumptions!$D$87*IF(Assumptions!X$191=2027,1+Assumptions!$F$175,1)/12,1.1*Assumptions!X$202)-Assumptions!X$202)+Assumptions!X$208*MAX(0,MIN(Assumptions!$D$87*IF(Assumptions!X$191=2027,1+Assumptions!$F$175,1)/12,1.5*Assumptions!X$202)-1.1*Assumptions!X$202)+Assumptions!X$210*MAX(0,Assumptions!$D$87*IF(Assumptions!X$191=2027,1+Assumptions!$F$175,1)/12-1.5*Assumptions!X$202)))</f>
        <v>1058.05892967364</v>
      </c>
      <c r="Y84" s="65" t="n">
        <f aca="false">Y20*(MIN(Assumptions!$D$87*IF(Assumptions!Y$191=2027,1+Assumptions!$F$175,1)/12,Assumptions!Y$202)*Assumptions!Y$204+(Assumptions!Y$206*MAX(0,MIN(Assumptions!$D$87*IF(Assumptions!Y$191=2027,1+Assumptions!$F$175,1)/12,1.1*Assumptions!Y$202)-Assumptions!Y$202)+Assumptions!Y$208*MAX(0,MIN(Assumptions!$D$87*IF(Assumptions!Y$191=2027,1+Assumptions!$F$175,1)/12,1.5*Assumptions!Y$202)-1.1*Assumptions!Y$202)+Assumptions!Y$210*MAX(0,Assumptions!$D$87*IF(Assumptions!Y$191=2027,1+Assumptions!$F$175,1)/12-1.5*Assumptions!Y$202)))</f>
        <v>1058.12302915034</v>
      </c>
      <c r="Z84" s="65" t="n">
        <f aca="false">Z20*(MIN(Assumptions!$D$87*IF(Assumptions!Z$191=2027,1+Assumptions!$F$175,1)/12,Assumptions!Z$202)*Assumptions!Z$204+(Assumptions!Z$206*MAX(0,MIN(Assumptions!$D$87*IF(Assumptions!Z$191=2027,1+Assumptions!$F$175,1)/12,1.1*Assumptions!Z$202)-Assumptions!Z$202)+Assumptions!Z$208*MAX(0,MIN(Assumptions!$D$87*IF(Assumptions!Z$191=2027,1+Assumptions!$F$175,1)/12,1.5*Assumptions!Z$202)-1.1*Assumptions!Z$202)+Assumptions!Z$210*MAX(0,Assumptions!$D$87*IF(Assumptions!Z$191=2027,1+Assumptions!$F$175,1)/12-1.5*Assumptions!Z$202)))</f>
        <v>1058.11887585783</v>
      </c>
      <c r="AA84" s="65" t="n">
        <f aca="false">AA20*(MIN(Assumptions!$D$87*IF(Assumptions!AA$191=2027,1+Assumptions!$F$175,1)/12,Assumptions!AA$202)*Assumptions!AA$204+(Assumptions!AA$206*MAX(0,MIN(Assumptions!$D$87*IF(Assumptions!AA$191=2027,1+Assumptions!$F$175,1)/12,1.1*Assumptions!AA$202)-Assumptions!AA$202)+Assumptions!AA$208*MAX(0,MIN(Assumptions!$D$87*IF(Assumptions!AA$191=2027,1+Assumptions!$F$175,1)/12,1.5*Assumptions!AA$202)-1.1*Assumptions!AA$202)+Assumptions!AA$210*MAX(0,Assumptions!$D$87*IF(Assumptions!AA$191=2027,1+Assumptions!$F$175,1)/12-1.5*Assumptions!AA$202)))</f>
        <v>1058.117626979</v>
      </c>
      <c r="AB84" s="65" t="n">
        <f aca="false">AB20*(MIN(Assumptions!$D$87*IF(Assumptions!AB$191=2027,1+Assumptions!$F$175,1)/12,Assumptions!AB$202)*Assumptions!AB$204+(Assumptions!AB$206*MAX(0,MIN(Assumptions!$D$87*IF(Assumptions!AB$191=2027,1+Assumptions!$F$175,1)/12,1.1*Assumptions!AB$202)-Assumptions!AB$202)+Assumptions!AB$208*MAX(0,MIN(Assumptions!$D$87*IF(Assumptions!AB$191=2027,1+Assumptions!$F$175,1)/12,1.5*Assumptions!AB$202)-1.1*Assumptions!AB$202)+Assumptions!AB$210*MAX(0,Assumptions!$D$87*IF(Assumptions!AB$191=2027,1+Assumptions!$F$175,1)/12-1.5*Assumptions!AB$202)))</f>
        <v>1058.11773952423</v>
      </c>
    </row>
    <row r="85" customFormat="false" ht="15" hidden="false" customHeight="false" outlineLevel="0" collapsed="false">
      <c r="A85" s="28" t="s">
        <v>1134</v>
      </c>
      <c r="B85" s="63"/>
      <c r="C85" s="64" t="n">
        <f aca="false">SUM(E85:P85)</f>
        <v>20530.3819680379</v>
      </c>
      <c r="D85" s="64" t="n">
        <f aca="false">SUM(Q85:AB85)</f>
        <v>24236.9198412963</v>
      </c>
      <c r="E85" s="65" t="n">
        <f aca="false">E21*(MIN(Assumptions!$D$88*IF(Assumptions!E$191=2027,1+Assumptions!$F$175,1)/12,Assumptions!E$202)*Assumptions!E$204+(Assumptions!E$206*MAX(0,MIN(Assumptions!$D$88*IF(Assumptions!E$191=2027,1+Assumptions!$F$175,1)/12,1.1*Assumptions!E$202)-Assumptions!E$202)+Assumptions!E$208*MAX(0,MIN(Assumptions!$D$88*IF(Assumptions!E$191=2027,1+Assumptions!$F$175,1)/12,1.5*Assumptions!E$202)-1.1*Assumptions!E$202)+Assumptions!E$210*MAX(0,Assumptions!$D$88*IF(Assumptions!E$191=2027,1+Assumptions!$F$175,1)/12-1.5*Assumptions!E$202)))</f>
        <v>1495</v>
      </c>
      <c r="F85" s="65" t="n">
        <f aca="false">F21*(MIN(Assumptions!$D$88*IF(Assumptions!F$191=2027,1+Assumptions!$F$175,1)/12,Assumptions!F$202)*Assumptions!F$204+(Assumptions!F$206*MAX(0,MIN(Assumptions!$D$88*IF(Assumptions!F$191=2027,1+Assumptions!$F$175,1)/12,1.1*Assumptions!F$202)-Assumptions!F$202)+Assumptions!F$208*MAX(0,MIN(Assumptions!$D$88*IF(Assumptions!F$191=2027,1+Assumptions!$F$175,1)/12,1.5*Assumptions!F$202)-1.1*Assumptions!F$202)+Assumptions!F$210*MAX(0,Assumptions!$D$88*IF(Assumptions!F$191=2027,1+Assumptions!$F$175,1)/12-1.5*Assumptions!F$202)))</f>
        <v>1744.16666666667</v>
      </c>
      <c r="G85" s="65" t="n">
        <f aca="false">G21*(MIN(Assumptions!$D$88*IF(Assumptions!G$191=2027,1+Assumptions!$F$175,1)/12,Assumptions!G$202)*Assumptions!G$204+(Assumptions!G$206*MAX(0,MIN(Assumptions!$D$88*IF(Assumptions!G$191=2027,1+Assumptions!$F$175,1)/12,1.1*Assumptions!G$202)-Assumptions!G$202)+Assumptions!G$208*MAX(0,MIN(Assumptions!$D$88*IF(Assumptions!G$191=2027,1+Assumptions!$F$175,1)/12,1.5*Assumptions!G$202)-1.1*Assumptions!G$202)+Assumptions!G$210*MAX(0,Assumptions!$D$88*IF(Assumptions!G$191=2027,1+Assumptions!$F$175,1)/12-1.5*Assumptions!G$202)))</f>
        <v>1744.16666666667</v>
      </c>
      <c r="H85" s="65" t="n">
        <f aca="false">H21*(MIN(Assumptions!$D$88*IF(Assumptions!H$191=2027,1+Assumptions!$F$175,1)/12,Assumptions!H$202)*Assumptions!H$204+(Assumptions!H$206*MAX(0,MIN(Assumptions!$D$88*IF(Assumptions!H$191=2027,1+Assumptions!$F$175,1)/12,1.1*Assumptions!H$202)-Assumptions!H$202)+Assumptions!H$208*MAX(0,MIN(Assumptions!$D$88*IF(Assumptions!H$191=2027,1+Assumptions!$F$175,1)/12,1.5*Assumptions!H$202)-1.1*Assumptions!H$202)+Assumptions!H$210*MAX(0,Assumptions!$D$88*IF(Assumptions!H$191=2027,1+Assumptions!$F$175,1)/12-1.5*Assumptions!H$202)))</f>
        <v>1744.16666666667</v>
      </c>
      <c r="I85" s="65" t="n">
        <f aca="false">I21*(MIN(Assumptions!$D$88*IF(Assumptions!I$191=2027,1+Assumptions!$F$175,1)/12,Assumptions!I$202)*Assumptions!I$204+(Assumptions!I$206*MAX(0,MIN(Assumptions!$D$88*IF(Assumptions!I$191=2027,1+Assumptions!$F$175,1)/12,1.1*Assumptions!I$202)-Assumptions!I$202)+Assumptions!I$208*MAX(0,MIN(Assumptions!$D$88*IF(Assumptions!I$191=2027,1+Assumptions!$F$175,1)/12,1.5*Assumptions!I$202)-1.1*Assumptions!I$202)+Assumptions!I$210*MAX(0,Assumptions!$D$88*IF(Assumptions!I$191=2027,1+Assumptions!$F$175,1)/12-1.5*Assumptions!I$202)))</f>
        <v>1744.16666666667</v>
      </c>
      <c r="J85" s="65" t="n">
        <f aca="false">J21*(MIN(Assumptions!$D$88*IF(Assumptions!J$191=2027,1+Assumptions!$F$175,1)/12,Assumptions!J$202)*Assumptions!J$204+(Assumptions!J$206*MAX(0,MIN(Assumptions!$D$88*IF(Assumptions!J$191=2027,1+Assumptions!$F$175,1)/12,1.1*Assumptions!J$202)-Assumptions!J$202)+Assumptions!J$208*MAX(0,MIN(Assumptions!$D$88*IF(Assumptions!J$191=2027,1+Assumptions!$F$175,1)/12,1.5*Assumptions!J$202)-1.1*Assumptions!J$202)+Assumptions!J$210*MAX(0,Assumptions!$D$88*IF(Assumptions!J$191=2027,1+Assumptions!$F$175,1)/12-1.5*Assumptions!J$202)))</f>
        <v>1744.16666666667</v>
      </c>
      <c r="K85" s="65" t="n">
        <f aca="false">K21*(MIN(Assumptions!$D$88*IF(Assumptions!K$191=2027,1+Assumptions!$F$175,1)/12,Assumptions!K$202)*Assumptions!K$204+(Assumptions!K$206*MAX(0,MIN(Assumptions!$D$88*IF(Assumptions!K$191=2027,1+Assumptions!$F$175,1)/12,1.1*Assumptions!K$202)-Assumptions!K$202)+Assumptions!K$208*MAX(0,MIN(Assumptions!$D$88*IF(Assumptions!K$191=2027,1+Assumptions!$F$175,1)/12,1.5*Assumptions!K$202)-1.1*Assumptions!K$202)+Assumptions!K$210*MAX(0,Assumptions!$D$88*IF(Assumptions!K$191=2027,1+Assumptions!$F$175,1)/12-1.5*Assumptions!K$202)))</f>
        <v>1744.16666666667</v>
      </c>
      <c r="L85" s="65" t="n">
        <f aca="false">L21*(MIN(Assumptions!$D$88*IF(Assumptions!L$191=2027,1+Assumptions!$F$175,1)/12,Assumptions!L$202)*Assumptions!L$204+(Assumptions!L$206*MAX(0,MIN(Assumptions!$D$88*IF(Assumptions!L$191=2027,1+Assumptions!$F$175,1)/12,1.1*Assumptions!L$202)-Assumptions!L$202)+Assumptions!L$208*MAX(0,MIN(Assumptions!$D$88*IF(Assumptions!L$191=2027,1+Assumptions!$F$175,1)/12,1.5*Assumptions!L$202)-1.1*Assumptions!L$202)+Assumptions!L$210*MAX(0,Assumptions!$D$88*IF(Assumptions!L$191=2027,1+Assumptions!$F$175,1)/12-1.5*Assumptions!L$202)))</f>
        <v>1744.16666666667</v>
      </c>
      <c r="M85" s="65" t="n">
        <f aca="false">M21*(MIN(Assumptions!$D$88*IF(Assumptions!M$191=2027,1+Assumptions!$F$175,1)/12,Assumptions!M$202)*Assumptions!M$204+(Assumptions!M$206*MAX(0,MIN(Assumptions!$D$88*IF(Assumptions!M$191=2027,1+Assumptions!$F$175,1)/12,1.1*Assumptions!M$202)-Assumptions!M$202)+Assumptions!M$208*MAX(0,MIN(Assumptions!$D$88*IF(Assumptions!M$191=2027,1+Assumptions!$F$175,1)/12,1.5*Assumptions!M$202)-1.1*Assumptions!M$202)+Assumptions!M$210*MAX(0,Assumptions!$D$88*IF(Assumptions!M$191=2027,1+Assumptions!$F$175,1)/12-1.5*Assumptions!M$202)))</f>
        <v>1722.36458333333</v>
      </c>
      <c r="N85" s="65" t="n">
        <f aca="false">N21*(MIN(Assumptions!$D$88*IF(Assumptions!N$191=2027,1+Assumptions!$F$175,1)/12,Assumptions!N$202)*Assumptions!N$204+(Assumptions!N$206*MAX(0,MIN(Assumptions!$D$88*IF(Assumptions!N$191=2027,1+Assumptions!$F$175,1)/12,1.1*Assumptions!N$202)-Assumptions!N$202)+Assumptions!N$208*MAX(0,MIN(Assumptions!$D$88*IF(Assumptions!N$191=2027,1+Assumptions!$F$175,1)/12,1.5*Assumptions!N$202)-1.1*Assumptions!N$202)+Assumptions!N$210*MAX(0,Assumptions!$D$88*IF(Assumptions!N$191=2027,1+Assumptions!$F$175,1)/12-1.5*Assumptions!N$202)))</f>
        <v>1700.83502604167</v>
      </c>
      <c r="O85" s="65" t="n">
        <f aca="false">O21*(MIN(Assumptions!$D$88*IF(Assumptions!O$191=2027,1+Assumptions!$F$175,1)/12,Assumptions!O$202)*Assumptions!O$204+(Assumptions!O$206*MAX(0,MIN(Assumptions!$D$88*IF(Assumptions!O$191=2027,1+Assumptions!$F$175,1)/12,1.1*Assumptions!O$202)-Assumptions!O$202)+Assumptions!O$208*MAX(0,MIN(Assumptions!$D$88*IF(Assumptions!O$191=2027,1+Assumptions!$F$175,1)/12,1.5*Assumptions!O$202)-1.1*Assumptions!O$202)+Assumptions!O$210*MAX(0,Assumptions!$D$88*IF(Assumptions!O$191=2027,1+Assumptions!$F$175,1)/12-1.5*Assumptions!O$202)))</f>
        <v>1701.37667154948</v>
      </c>
      <c r="P85" s="65" t="n">
        <f aca="false">P21*(MIN(Assumptions!$D$88*IF(Assumptions!P$191=2027,1+Assumptions!$F$175,1)/12,Assumptions!P$202)*Assumptions!P$204+(Assumptions!P$206*MAX(0,MIN(Assumptions!$D$88*IF(Assumptions!P$191=2027,1+Assumptions!$F$175,1)/12,1.1*Assumptions!P$202)-Assumptions!P$202)+Assumptions!P$208*MAX(0,MIN(Assumptions!$D$88*IF(Assumptions!P$191=2027,1+Assumptions!$F$175,1)/12,1.5*Assumptions!P$202)-1.1*Assumptions!P$202)+Assumptions!P$210*MAX(0,Assumptions!$D$88*IF(Assumptions!P$191=2027,1+Assumptions!$F$175,1)/12-1.5*Assumptions!P$202)))</f>
        <v>1701.63902044678</v>
      </c>
      <c r="Q85" s="65" t="n">
        <f aca="false">Q21*(MIN(Assumptions!$D$88*IF(Assumptions!Q$191=2027,1+Assumptions!$F$175,1)/12,Assumptions!Q$202)*Assumptions!Q$204+(Assumptions!Q$206*MAX(0,MIN(Assumptions!$D$88*IF(Assumptions!Q$191=2027,1+Assumptions!$F$175,1)/12,1.1*Assumptions!Q$202)-Assumptions!Q$202)+Assumptions!Q$208*MAX(0,MIN(Assumptions!$D$88*IF(Assumptions!Q$191=2027,1+Assumptions!$F$175,1)/12,1.5*Assumptions!Q$202)-1.1*Assumptions!Q$202)+Assumptions!Q$210*MAX(0,Assumptions!$D$88*IF(Assumptions!Q$191=2027,1+Assumptions!$F$175,1)/12-1.5*Assumptions!Q$202)))</f>
        <v>2025.28601828321</v>
      </c>
      <c r="R85" s="65" t="n">
        <f aca="false">R21*(MIN(Assumptions!$D$88*IF(Assumptions!R$191=2027,1+Assumptions!$F$175,1)/12,Assumptions!R$202)*Assumptions!R$204+(Assumptions!R$206*MAX(0,MIN(Assumptions!$D$88*IF(Assumptions!R$191=2027,1+Assumptions!$F$175,1)/12,1.1*Assumptions!R$202)-Assumptions!R$202)+Assumptions!R$208*MAX(0,MIN(Assumptions!$D$88*IF(Assumptions!R$191=2027,1+Assumptions!$F$175,1)/12,1.5*Assumptions!R$202)-1.1*Assumptions!R$202)+Assumptions!R$210*MAX(0,Assumptions!$D$88*IF(Assumptions!R$191=2027,1+Assumptions!$F$175,1)/12-1.5*Assumptions!R$202)))</f>
        <v>2022.04923162189</v>
      </c>
      <c r="S85" s="65" t="n">
        <f aca="false">S21*(MIN(Assumptions!$D$88*IF(Assumptions!S$191=2027,1+Assumptions!$F$175,1)/12,Assumptions!S$202)*Assumptions!S$204+(Assumptions!S$206*MAX(0,MIN(Assumptions!$D$88*IF(Assumptions!S$191=2027,1+Assumptions!$F$175,1)/12,1.1*Assumptions!S$202)-Assumptions!S$202)+Assumptions!S$208*MAX(0,MIN(Assumptions!$D$88*IF(Assumptions!S$191=2027,1+Assumptions!$F$175,1)/12,1.5*Assumptions!S$202)-1.1*Assumptions!S$202)+Assumptions!S$210*MAX(0,Assumptions!$D$88*IF(Assumptions!S$191=2027,1+Assumptions!$F$175,1)/12-1.5*Assumptions!S$202)))</f>
        <v>2018.85630937619</v>
      </c>
      <c r="T85" s="65" t="n">
        <f aca="false">T21*(MIN(Assumptions!$D$88*IF(Assumptions!T$191=2027,1+Assumptions!$F$175,1)/12,Assumptions!T$202)*Assumptions!T$204+(Assumptions!T$206*MAX(0,MIN(Assumptions!$D$88*IF(Assumptions!T$191=2027,1+Assumptions!$F$175,1)/12,1.1*Assumptions!T$202)-Assumptions!T$202)+Assumptions!T$208*MAX(0,MIN(Assumptions!$D$88*IF(Assumptions!T$191=2027,1+Assumptions!$F$175,1)/12,1.5*Assumptions!T$202)-1.1*Assumptions!T$202)+Assumptions!T$210*MAX(0,Assumptions!$D$88*IF(Assumptions!T$191=2027,1+Assumptions!$F$175,1)/12-1.5*Assumptions!T$202)))</f>
        <v>2018.93668073752</v>
      </c>
      <c r="U85" s="65" t="n">
        <f aca="false">U21*(MIN(Assumptions!$D$88*IF(Assumptions!U$191=2027,1+Assumptions!$F$175,1)/12,Assumptions!U$202)*Assumptions!U$204+(Assumptions!U$206*MAX(0,MIN(Assumptions!$D$88*IF(Assumptions!U$191=2027,1+Assumptions!$F$175,1)/12,1.1*Assumptions!U$202)-Assumptions!U$202)+Assumptions!U$208*MAX(0,MIN(Assumptions!$D$88*IF(Assumptions!U$191=2027,1+Assumptions!$F$175,1)/12,1.5*Assumptions!U$202)-1.1*Assumptions!U$202)+Assumptions!U$210*MAX(0,Assumptions!$D$88*IF(Assumptions!U$191=2027,1+Assumptions!$F$175,1)/12-1.5*Assumptions!U$202)))</f>
        <v>2018.97558762358</v>
      </c>
      <c r="V85" s="65" t="n">
        <f aca="false">V21*(MIN(Assumptions!$D$88*IF(Assumptions!V$191=2027,1+Assumptions!$F$175,1)/12,Assumptions!V$202)*Assumptions!V$204+(Assumptions!V$206*MAX(0,MIN(Assumptions!$D$88*IF(Assumptions!V$191=2027,1+Assumptions!$F$175,1)/12,1.1*Assumptions!V$202)-Assumptions!V$202)+Assumptions!V$208*MAX(0,MIN(Assumptions!$D$88*IF(Assumptions!V$191=2027,1+Assumptions!$F$175,1)/12,1.5*Assumptions!V$202)-1.1*Assumptions!V$202)+Assumptions!V$210*MAX(0,Assumptions!$D$88*IF(Assumptions!V$191=2027,1+Assumptions!$F$175,1)/12-1.5*Assumptions!V$202)))</f>
        <v>2018.97409664549</v>
      </c>
      <c r="W85" s="65" t="n">
        <f aca="false">W21*(MIN(Assumptions!$D$88*IF(Assumptions!W$191=2027,1+Assumptions!$F$175,1)/12,Assumptions!W$202)*Assumptions!W$204+(Assumptions!W$206*MAX(0,MIN(Assumptions!$D$88*IF(Assumptions!W$191=2027,1+Assumptions!$F$175,1)/12,1.1*Assumptions!W$202)-Assumptions!W$202)+Assumptions!W$208*MAX(0,MIN(Assumptions!$D$88*IF(Assumptions!W$191=2027,1+Assumptions!$F$175,1)/12,1.5*Assumptions!W$202)-1.1*Assumptions!W$202)+Assumptions!W$210*MAX(0,Assumptions!$D$88*IF(Assumptions!W$191=2027,1+Assumptions!$F$175,1)/12-1.5*Assumptions!W$202)))</f>
        <v>2018.97362894664</v>
      </c>
      <c r="X85" s="65" t="n">
        <f aca="false">X21*(MIN(Assumptions!$D$88*IF(Assumptions!X$191=2027,1+Assumptions!$F$175,1)/12,Assumptions!X$202)*Assumptions!X$204+(Assumptions!X$206*MAX(0,MIN(Assumptions!$D$88*IF(Assumptions!X$191=2027,1+Assumptions!$F$175,1)/12,1.1*Assumptions!X$202)-Assumptions!X$202)+Assumptions!X$208*MAX(0,MIN(Assumptions!$D$88*IF(Assumptions!X$191=2027,1+Assumptions!$F$175,1)/12,1.5*Assumptions!X$202)-1.1*Assumptions!X$202)+Assumptions!X$210*MAX(0,Assumptions!$D$88*IF(Assumptions!X$191=2027,1+Assumptions!$F$175,1)/12-1.5*Assumptions!X$202)))</f>
        <v>2018.9736534301</v>
      </c>
      <c r="Y85" s="65" t="n">
        <f aca="false">Y21*(MIN(Assumptions!$D$88*IF(Assumptions!Y$191=2027,1+Assumptions!$F$175,1)/12,Assumptions!Y$202)*Assumptions!Y$204+(Assumptions!Y$206*MAX(0,MIN(Assumptions!$D$88*IF(Assumptions!Y$191=2027,1+Assumptions!$F$175,1)/12,1.1*Assumptions!Y$202)-Assumptions!Y$202)+Assumptions!Y$208*MAX(0,MIN(Assumptions!$D$88*IF(Assumptions!Y$191=2027,1+Assumptions!$F$175,1)/12,1.5*Assumptions!Y$202)-1.1*Assumptions!Y$202)+Assumptions!Y$210*MAX(0,Assumptions!$D$88*IF(Assumptions!Y$191=2027,1+Assumptions!$F$175,1)/12-1.5*Assumptions!Y$202)))</f>
        <v>2018.97365897029</v>
      </c>
      <c r="Z85" s="65" t="n">
        <f aca="false">Z21*(MIN(Assumptions!$D$88*IF(Assumptions!Z$191=2027,1+Assumptions!$F$175,1)/12,Assumptions!Z$202)*Assumptions!Z$204+(Assumptions!Z$206*MAX(0,MIN(Assumptions!$D$88*IF(Assumptions!Z$191=2027,1+Assumptions!$F$175,1)/12,1.1*Assumptions!Z$202)-Assumptions!Z$202)+Assumptions!Z$208*MAX(0,MIN(Assumptions!$D$88*IF(Assumptions!Z$191=2027,1+Assumptions!$F$175,1)/12,1.5*Assumptions!Z$202)-1.1*Assumptions!Z$202)+Assumptions!Z$210*MAX(0,Assumptions!$D$88*IF(Assumptions!Z$191=2027,1+Assumptions!$F$175,1)/12-1.5*Assumptions!Z$202)))</f>
        <v>2018.973658595</v>
      </c>
      <c r="AA85" s="65" t="n">
        <f aca="false">AA21*(MIN(Assumptions!$D$88*IF(Assumptions!AA$191=2027,1+Assumptions!$F$175,1)/12,Assumptions!AA$202)*Assumptions!AA$204+(Assumptions!AA$206*MAX(0,MIN(Assumptions!$D$88*IF(Assumptions!AA$191=2027,1+Assumptions!$F$175,1)/12,1.1*Assumptions!AA$202)-Assumptions!AA$202)+Assumptions!AA$208*MAX(0,MIN(Assumptions!$D$88*IF(Assumptions!AA$191=2027,1+Assumptions!$F$175,1)/12,1.5*Assumptions!AA$202)-1.1*Assumptions!AA$202)+Assumptions!AA$210*MAX(0,Assumptions!$D$88*IF(Assumptions!AA$191=2027,1+Assumptions!$F$175,1)/12-1.5*Assumptions!AA$202)))</f>
        <v>2018.97365853043</v>
      </c>
      <c r="AB85" s="65" t="n">
        <f aca="false">AB21*(MIN(Assumptions!$D$88*IF(Assumptions!AB$191=2027,1+Assumptions!$F$175,1)/12,Assumptions!AB$202)*Assumptions!AB$204+(Assumptions!AB$206*MAX(0,MIN(Assumptions!$D$88*IF(Assumptions!AB$191=2027,1+Assumptions!$F$175,1)/12,1.1*Assumptions!AB$202)-Assumptions!AB$202)+Assumptions!AB$208*MAX(0,MIN(Assumptions!$D$88*IF(Assumptions!AB$191=2027,1+Assumptions!$F$175,1)/12,1.5*Assumptions!AB$202)-1.1*Assumptions!AB$202)+Assumptions!AB$210*MAX(0,Assumptions!$D$88*IF(Assumptions!AB$191=2027,1+Assumptions!$F$175,1)/12-1.5*Assumptions!AB$202)))</f>
        <v>2018.97365853593</v>
      </c>
    </row>
    <row r="86" customFormat="false" ht="15" hidden="false" customHeight="false" outlineLevel="0" collapsed="false">
      <c r="A86" s="28" t="s">
        <v>1135</v>
      </c>
      <c r="B86" s="63"/>
      <c r="C86" s="64" t="n">
        <f aca="false">SUM(E86:P86)</f>
        <v>8115.78670675718</v>
      </c>
      <c r="D86" s="64" t="n">
        <f aca="false">SUM(Q86:AB86)</f>
        <v>8399.99209497943</v>
      </c>
      <c r="E86" s="65" t="n">
        <f aca="false">E22*(MIN(Assumptions!$D$89*IF(Assumptions!E$191=2027,1+Assumptions!$F$175,1)/12,Assumptions!E$202)*Assumptions!E$204+(Assumptions!E$206*MAX(0,MIN(Assumptions!$D$89*IF(Assumptions!E$191=2027,1+Assumptions!$F$175,1)/12,1.1*Assumptions!E$202)-Assumptions!E$202)+Assumptions!E$208*MAX(0,MIN(Assumptions!$D$89*IF(Assumptions!E$191=2027,1+Assumptions!$F$175,1)/12,1.5*Assumptions!E$202)-1.1*Assumptions!E$202)+Assumptions!E$210*MAX(0,Assumptions!$D$89*IF(Assumptions!E$191=2027,1+Assumptions!$F$175,1)/12-1.5*Assumptions!E$202)))</f>
        <v>678.935832</v>
      </c>
      <c r="F86" s="65" t="n">
        <f aca="false">F22*(MIN(Assumptions!$D$89*IF(Assumptions!F$191=2027,1+Assumptions!$F$175,1)/12,Assumptions!F$202)*Assumptions!F$204+(Assumptions!F$206*MAX(0,MIN(Assumptions!$D$89*IF(Assumptions!F$191=2027,1+Assumptions!$F$175,1)/12,1.1*Assumptions!F$202)-Assumptions!F$202)+Assumptions!F$208*MAX(0,MIN(Assumptions!$D$89*IF(Assumptions!F$191=2027,1+Assumptions!$F$175,1)/12,1.5*Assumptions!F$202)-1.1*Assumptions!F$202)+Assumptions!F$210*MAX(0,Assumptions!$D$89*IF(Assumptions!F$191=2027,1+Assumptions!$F$175,1)/12-1.5*Assumptions!F$202)))</f>
        <v>678.935832</v>
      </c>
      <c r="G86" s="65" t="n">
        <f aca="false">G22*(MIN(Assumptions!$D$89*IF(Assumptions!G$191=2027,1+Assumptions!$F$175,1)/12,Assumptions!G$202)*Assumptions!G$204+(Assumptions!G$206*MAX(0,MIN(Assumptions!$D$89*IF(Assumptions!G$191=2027,1+Assumptions!$F$175,1)/12,1.1*Assumptions!G$202)-Assumptions!G$202)+Assumptions!G$208*MAX(0,MIN(Assumptions!$D$89*IF(Assumptions!G$191=2027,1+Assumptions!$F$175,1)/12,1.5*Assumptions!G$202)-1.1*Assumptions!G$202)+Assumptions!G$210*MAX(0,Assumptions!$D$89*IF(Assumptions!G$191=2027,1+Assumptions!$F$175,1)/12-1.5*Assumptions!G$202)))</f>
        <v>678.935832</v>
      </c>
      <c r="H86" s="65" t="n">
        <f aca="false">H22*(MIN(Assumptions!$D$89*IF(Assumptions!H$191=2027,1+Assumptions!$F$175,1)/12,Assumptions!H$202)*Assumptions!H$204+(Assumptions!H$206*MAX(0,MIN(Assumptions!$D$89*IF(Assumptions!H$191=2027,1+Assumptions!$F$175,1)/12,1.1*Assumptions!H$202)-Assumptions!H$202)+Assumptions!H$208*MAX(0,MIN(Assumptions!$D$89*IF(Assumptions!H$191=2027,1+Assumptions!$F$175,1)/12,1.5*Assumptions!H$202)-1.1*Assumptions!H$202)+Assumptions!H$210*MAX(0,Assumptions!$D$89*IF(Assumptions!H$191=2027,1+Assumptions!$F$175,1)/12-1.5*Assumptions!H$202)))</f>
        <v>678.935832</v>
      </c>
      <c r="I86" s="65" t="n">
        <f aca="false">I22*(MIN(Assumptions!$D$89*IF(Assumptions!I$191=2027,1+Assumptions!$F$175,1)/12,Assumptions!I$202)*Assumptions!I$204+(Assumptions!I$206*MAX(0,MIN(Assumptions!$D$89*IF(Assumptions!I$191=2027,1+Assumptions!$F$175,1)/12,1.1*Assumptions!I$202)-Assumptions!I$202)+Assumptions!I$208*MAX(0,MIN(Assumptions!$D$89*IF(Assumptions!I$191=2027,1+Assumptions!$F$175,1)/12,1.5*Assumptions!I$202)-1.1*Assumptions!I$202)+Assumptions!I$210*MAX(0,Assumptions!$D$89*IF(Assumptions!I$191=2027,1+Assumptions!$F$175,1)/12-1.5*Assumptions!I$202)))</f>
        <v>678.935832</v>
      </c>
      <c r="J86" s="65" t="n">
        <f aca="false">J22*(MIN(Assumptions!$D$89*IF(Assumptions!J$191=2027,1+Assumptions!$F$175,1)/12,Assumptions!J$202)*Assumptions!J$204+(Assumptions!J$206*MAX(0,MIN(Assumptions!$D$89*IF(Assumptions!J$191=2027,1+Assumptions!$F$175,1)/12,1.1*Assumptions!J$202)-Assumptions!J$202)+Assumptions!J$208*MAX(0,MIN(Assumptions!$D$89*IF(Assumptions!J$191=2027,1+Assumptions!$F$175,1)/12,1.5*Assumptions!J$202)-1.1*Assumptions!J$202)+Assumptions!J$210*MAX(0,Assumptions!$D$89*IF(Assumptions!J$191=2027,1+Assumptions!$F$175,1)/12-1.5*Assumptions!J$202)))</f>
        <v>678.935832</v>
      </c>
      <c r="K86" s="65" t="n">
        <f aca="false">K22*(MIN(Assumptions!$D$89*IF(Assumptions!K$191=2027,1+Assumptions!$F$175,1)/12,Assumptions!K$202)*Assumptions!K$204+(Assumptions!K$206*MAX(0,MIN(Assumptions!$D$89*IF(Assumptions!K$191=2027,1+Assumptions!$F$175,1)/12,1.1*Assumptions!K$202)-Assumptions!K$202)+Assumptions!K$208*MAX(0,MIN(Assumptions!$D$89*IF(Assumptions!K$191=2027,1+Assumptions!$F$175,1)/12,1.5*Assumptions!K$202)-1.1*Assumptions!K$202)+Assumptions!K$210*MAX(0,Assumptions!$D$89*IF(Assumptions!K$191=2027,1+Assumptions!$F$175,1)/12-1.5*Assumptions!K$202)))</f>
        <v>678.935832</v>
      </c>
      <c r="L86" s="65" t="n">
        <f aca="false">L22*(MIN(Assumptions!$D$89*IF(Assumptions!L$191=2027,1+Assumptions!$F$175,1)/12,Assumptions!L$202)*Assumptions!L$204+(Assumptions!L$206*MAX(0,MIN(Assumptions!$D$89*IF(Assumptions!L$191=2027,1+Assumptions!$F$175,1)/12,1.1*Assumptions!L$202)-Assumptions!L$202)+Assumptions!L$208*MAX(0,MIN(Assumptions!$D$89*IF(Assumptions!L$191=2027,1+Assumptions!$F$175,1)/12,1.5*Assumptions!L$202)-1.1*Assumptions!L$202)+Assumptions!L$210*MAX(0,Assumptions!$D$89*IF(Assumptions!L$191=2027,1+Assumptions!$F$175,1)/12-1.5*Assumptions!L$202)))</f>
        <v>678.935832</v>
      </c>
      <c r="M86" s="65" t="n">
        <f aca="false">M22*(MIN(Assumptions!$D$89*IF(Assumptions!M$191=2027,1+Assumptions!$F$175,1)/12,Assumptions!M$202)*Assumptions!M$204+(Assumptions!M$206*MAX(0,MIN(Assumptions!$D$89*IF(Assumptions!M$191=2027,1+Assumptions!$F$175,1)/12,1.1*Assumptions!M$202)-Assumptions!M$202)+Assumptions!M$208*MAX(0,MIN(Assumptions!$D$89*IF(Assumptions!M$191=2027,1+Assumptions!$F$175,1)/12,1.5*Assumptions!M$202)-1.1*Assumptions!M$202)+Assumptions!M$210*MAX(0,Assumptions!$D$89*IF(Assumptions!M$191=2027,1+Assumptions!$F$175,1)/12-1.5*Assumptions!M$202)))</f>
        <v>674.40959312</v>
      </c>
      <c r="N86" s="65" t="n">
        <f aca="false">N22*(MIN(Assumptions!$D$89*IF(Assumptions!N$191=2027,1+Assumptions!$F$175,1)/12,Assumptions!N$202)*Assumptions!N$204+(Assumptions!N$206*MAX(0,MIN(Assumptions!$D$89*IF(Assumptions!N$191=2027,1+Assumptions!$F$175,1)/12,1.1*Assumptions!N$202)-Assumptions!N$202)+Assumptions!N$208*MAX(0,MIN(Assumptions!$D$89*IF(Assumptions!N$191=2027,1+Assumptions!$F$175,1)/12,1.5*Assumptions!N$202)-1.1*Assumptions!N$202)+Assumptions!N$210*MAX(0,Assumptions!$D$89*IF(Assumptions!N$191=2027,1+Assumptions!$F$175,1)/12-1.5*Assumptions!N$202)))</f>
        <v>669.913529165867</v>
      </c>
      <c r="O86" s="65" t="n">
        <f aca="false">O22*(MIN(Assumptions!$D$89*IF(Assumptions!O$191=2027,1+Assumptions!$F$175,1)/12,Assumptions!O$202)*Assumptions!O$204+(Assumptions!O$206*MAX(0,MIN(Assumptions!$D$89*IF(Assumptions!O$191=2027,1+Assumptions!$F$175,1)/12,1.1*Assumptions!O$202)-Assumptions!O$202)+Assumptions!O$208*MAX(0,MIN(Assumptions!$D$89*IF(Assumptions!O$191=2027,1+Assumptions!$F$175,1)/12,1.5*Assumptions!O$202)-1.1*Assumptions!O$202)+Assumptions!O$210*MAX(0,Assumptions!$D$89*IF(Assumptions!O$191=2027,1+Assumptions!$F$175,1)/12-1.5*Assumptions!O$202)))</f>
        <v>669.973677851428</v>
      </c>
      <c r="P86" s="65" t="n">
        <f aca="false">P22*(MIN(Assumptions!$D$89*IF(Assumptions!P$191=2027,1+Assumptions!$F$175,1)/12,Assumptions!P$202)*Assumptions!P$204+(Assumptions!P$206*MAX(0,MIN(Assumptions!$D$89*IF(Assumptions!P$191=2027,1+Assumptions!$F$175,1)/12,1.1*Assumptions!P$202)-Assumptions!P$202)+Assumptions!P$208*MAX(0,MIN(Assumptions!$D$89*IF(Assumptions!P$191=2027,1+Assumptions!$F$175,1)/12,1.5*Assumptions!P$202)-1.1*Assumptions!P$202)+Assumptions!P$210*MAX(0,Assumptions!$D$89*IF(Assumptions!P$191=2027,1+Assumptions!$F$175,1)/12-1.5*Assumptions!P$202)))</f>
        <v>670.003250619885</v>
      </c>
      <c r="Q86" s="65" t="n">
        <f aca="false">Q22*(MIN(Assumptions!$D$89*IF(Assumptions!Q$191=2027,1+Assumptions!$F$175,1)/12,Assumptions!Q$202)*Assumptions!Q$204+(Assumptions!Q$206*MAX(0,MIN(Assumptions!$D$89*IF(Assumptions!Q$191=2027,1+Assumptions!$F$175,1)/12,1.1*Assumptions!Q$202)-Assumptions!Q$202)+Assumptions!Q$208*MAX(0,MIN(Assumptions!$D$89*IF(Assumptions!Q$191=2027,1+Assumptions!$F$175,1)/12,1.5*Assumptions!Q$202)-1.1*Assumptions!Q$202)+Assumptions!Q$210*MAX(0,Assumptions!$D$89*IF(Assumptions!Q$191=2027,1+Assumptions!$F$175,1)/12-1.5*Assumptions!Q$202)))</f>
        <v>699.99952070351</v>
      </c>
      <c r="R86" s="65" t="n">
        <f aca="false">R22*(MIN(Assumptions!$D$89*IF(Assumptions!R$191=2027,1+Assumptions!$F$175,1)/12,Assumptions!R$202)*Assumptions!R$204+(Assumptions!R$206*MAX(0,MIN(Assumptions!$D$89*IF(Assumptions!R$191=2027,1+Assumptions!$F$175,1)/12,1.1*Assumptions!R$202)-Assumptions!R$202)+Assumptions!R$208*MAX(0,MIN(Assumptions!$D$89*IF(Assumptions!R$191=2027,1+Assumptions!$F$175,1)/12,1.5*Assumptions!R$202)-1.1*Assumptions!R$202)+Assumptions!R$210*MAX(0,Assumptions!$D$89*IF(Assumptions!R$191=2027,1+Assumptions!$F$175,1)/12-1.5*Assumptions!R$202)))</f>
        <v>699.999318891136</v>
      </c>
      <c r="S86" s="65" t="n">
        <f aca="false">S22*(MIN(Assumptions!$D$89*IF(Assumptions!S$191=2027,1+Assumptions!$F$175,1)/12,Assumptions!S$202)*Assumptions!S$204+(Assumptions!S$206*MAX(0,MIN(Assumptions!$D$89*IF(Assumptions!S$191=2027,1+Assumptions!$F$175,1)/12,1.1*Assumptions!S$202)-Assumptions!S$202)+Assumptions!S$208*MAX(0,MIN(Assumptions!$D$89*IF(Assumptions!S$191=2027,1+Assumptions!$F$175,1)/12,1.5*Assumptions!S$202)-1.1*Assumptions!S$202)+Assumptions!S$210*MAX(0,Assumptions!$D$89*IF(Assumptions!S$191=2027,1+Assumptions!$F$175,1)/12-1.5*Assumptions!S$202)))</f>
        <v>699.999324402702</v>
      </c>
      <c r="T86" s="65" t="n">
        <f aca="false">T22*(MIN(Assumptions!$D$89*IF(Assumptions!T$191=2027,1+Assumptions!$F$175,1)/12,Assumptions!T$202)*Assumptions!T$204+(Assumptions!T$206*MAX(0,MIN(Assumptions!$D$89*IF(Assumptions!T$191=2027,1+Assumptions!$F$175,1)/12,1.1*Assumptions!T$202)-Assumptions!T$202)+Assumptions!T$208*MAX(0,MIN(Assumptions!$D$89*IF(Assumptions!T$191=2027,1+Assumptions!$F$175,1)/12,1.5*Assumptions!T$202)-1.1*Assumptions!T$202)+Assumptions!T$210*MAX(0,Assumptions!$D$89*IF(Assumptions!T$191=2027,1+Assumptions!$F$175,1)/12-1.5*Assumptions!T$202)))</f>
        <v>699.999325711375</v>
      </c>
      <c r="U86" s="65" t="n">
        <f aca="false">U22*(MIN(Assumptions!$D$89*IF(Assumptions!U$191=2027,1+Assumptions!$F$175,1)/12,Assumptions!U$202)*Assumptions!U$204+(Assumptions!U$206*MAX(0,MIN(Assumptions!$D$89*IF(Assumptions!U$191=2027,1+Assumptions!$F$175,1)/12,1.1*Assumptions!U$202)-Assumptions!U$202)+Assumptions!U$208*MAX(0,MIN(Assumptions!$D$89*IF(Assumptions!U$191=2027,1+Assumptions!$F$175,1)/12,1.5*Assumptions!U$202)-1.1*Assumptions!U$202)+Assumptions!U$210*MAX(0,Assumptions!$D$89*IF(Assumptions!U$191=2027,1+Assumptions!$F$175,1)/12-1.5*Assumptions!U$202)))</f>
        <v>699.999325665906</v>
      </c>
      <c r="V86" s="65" t="n">
        <f aca="false">V22*(MIN(Assumptions!$D$89*IF(Assumptions!V$191=2027,1+Assumptions!$F$175,1)/12,Assumptions!V$202)*Assumptions!V$204+(Assumptions!V$206*MAX(0,MIN(Assumptions!$D$89*IF(Assumptions!V$191=2027,1+Assumptions!$F$175,1)/12,1.1*Assumptions!V$202)-Assumptions!V$202)+Assumptions!V$208*MAX(0,MIN(Assumptions!$D$89*IF(Assumptions!V$191=2027,1+Assumptions!$F$175,1)/12,1.5*Assumptions!V$202)-1.1*Assumptions!V$202)+Assumptions!V$210*MAX(0,Assumptions!$D$89*IF(Assumptions!V$191=2027,1+Assumptions!$F$175,1)/12-1.5*Assumptions!V$202)))</f>
        <v>699.999325657485</v>
      </c>
      <c r="W86" s="65" t="n">
        <f aca="false">W22*(MIN(Assumptions!$D$89*IF(Assumptions!W$191=2027,1+Assumptions!$F$175,1)/12,Assumptions!W$202)*Assumptions!W$204+(Assumptions!W$206*MAX(0,MIN(Assumptions!$D$89*IF(Assumptions!W$191=2027,1+Assumptions!$F$175,1)/12,1.1*Assumptions!W$202)-Assumptions!W$202)+Assumptions!W$208*MAX(0,MIN(Assumptions!$D$89*IF(Assumptions!W$191=2027,1+Assumptions!$F$175,1)/12,1.5*Assumptions!W$202)-1.1*Assumptions!W$202)+Assumptions!W$210*MAX(0,Assumptions!$D$89*IF(Assumptions!W$191=2027,1+Assumptions!$F$175,1)/12-1.5*Assumptions!W$202)))</f>
        <v>699.999325657844</v>
      </c>
      <c r="X86" s="65" t="n">
        <f aca="false">X22*(MIN(Assumptions!$D$89*IF(Assumptions!X$191=2027,1+Assumptions!$F$175,1)/12,Assumptions!X$202)*Assumptions!X$204+(Assumptions!X$206*MAX(0,MIN(Assumptions!$D$89*IF(Assumptions!X$191=2027,1+Assumptions!$F$175,1)/12,1.1*Assumptions!X$202)-Assumptions!X$202)+Assumptions!X$208*MAX(0,MIN(Assumptions!$D$89*IF(Assumptions!X$191=2027,1+Assumptions!$F$175,1)/12,1.5*Assumptions!X$202)-1.1*Assumptions!X$202)+Assumptions!X$210*MAX(0,Assumptions!$D$89*IF(Assumptions!X$191=2027,1+Assumptions!$F$175,1)/12-1.5*Assumptions!X$202)))</f>
        <v>699.999325657898</v>
      </c>
      <c r="Y86" s="65" t="n">
        <f aca="false">Y22*(MIN(Assumptions!$D$89*IF(Assumptions!Y$191=2027,1+Assumptions!$F$175,1)/12,Assumptions!Y$202)*Assumptions!Y$204+(Assumptions!Y$206*MAX(0,MIN(Assumptions!$D$89*IF(Assumptions!Y$191=2027,1+Assumptions!$F$175,1)/12,1.1*Assumptions!Y$202)-Assumptions!Y$202)+Assumptions!Y$208*MAX(0,MIN(Assumptions!$D$89*IF(Assumptions!Y$191=2027,1+Assumptions!$F$175,1)/12,1.5*Assumptions!Y$202)-1.1*Assumptions!Y$202)+Assumptions!Y$210*MAX(0,Assumptions!$D$89*IF(Assumptions!Y$191=2027,1+Assumptions!$F$175,1)/12-1.5*Assumptions!Y$202)))</f>
        <v>699.999325657895</v>
      </c>
      <c r="Z86" s="65" t="n">
        <f aca="false">Z22*(MIN(Assumptions!$D$89*IF(Assumptions!Z$191=2027,1+Assumptions!$F$175,1)/12,Assumptions!Z$202)*Assumptions!Z$204+(Assumptions!Z$206*MAX(0,MIN(Assumptions!$D$89*IF(Assumptions!Z$191=2027,1+Assumptions!$F$175,1)/12,1.1*Assumptions!Z$202)-Assumptions!Z$202)+Assumptions!Z$208*MAX(0,MIN(Assumptions!$D$89*IF(Assumptions!Z$191=2027,1+Assumptions!$F$175,1)/12,1.5*Assumptions!Z$202)-1.1*Assumptions!Z$202)+Assumptions!Z$210*MAX(0,Assumptions!$D$89*IF(Assumptions!Z$191=2027,1+Assumptions!$F$175,1)/12-1.5*Assumptions!Z$202)))</f>
        <v>699.999325657895</v>
      </c>
      <c r="AA86" s="65" t="n">
        <f aca="false">AA22*(MIN(Assumptions!$D$89*IF(Assumptions!AA$191=2027,1+Assumptions!$F$175,1)/12,Assumptions!AA$202)*Assumptions!AA$204+(Assumptions!AA$206*MAX(0,MIN(Assumptions!$D$89*IF(Assumptions!AA$191=2027,1+Assumptions!$F$175,1)/12,1.1*Assumptions!AA$202)-Assumptions!AA$202)+Assumptions!AA$208*MAX(0,MIN(Assumptions!$D$89*IF(Assumptions!AA$191=2027,1+Assumptions!$F$175,1)/12,1.5*Assumptions!AA$202)-1.1*Assumptions!AA$202)+Assumptions!AA$210*MAX(0,Assumptions!$D$89*IF(Assumptions!AA$191=2027,1+Assumptions!$F$175,1)/12-1.5*Assumptions!AA$202)))</f>
        <v>699.999325657895</v>
      </c>
      <c r="AB86" s="65" t="n">
        <f aca="false">AB22*(MIN(Assumptions!$D$89*IF(Assumptions!AB$191=2027,1+Assumptions!$F$175,1)/12,Assumptions!AB$202)*Assumptions!AB$204+(Assumptions!AB$206*MAX(0,MIN(Assumptions!$D$89*IF(Assumptions!AB$191=2027,1+Assumptions!$F$175,1)/12,1.1*Assumptions!AB$202)-Assumptions!AB$202)+Assumptions!AB$208*MAX(0,MIN(Assumptions!$D$89*IF(Assumptions!AB$191=2027,1+Assumptions!$F$175,1)/12,1.5*Assumptions!AB$202)-1.1*Assumptions!AB$202)+Assumptions!AB$210*MAX(0,Assumptions!$D$89*IF(Assumptions!AB$191=2027,1+Assumptions!$F$175,1)/12-1.5*Assumptions!AB$202)))</f>
        <v>699.999325657895</v>
      </c>
    </row>
    <row r="87" customFormat="false" ht="15" hidden="false" customHeight="false" outlineLevel="0" collapsed="false">
      <c r="A87" s="28" t="s">
        <v>1136</v>
      </c>
      <c r="B87" s="63"/>
      <c r="C87" s="64" t="n">
        <f aca="false">SUM(E87:P87)</f>
        <v>11978.5909248189</v>
      </c>
      <c r="D87" s="64" t="n">
        <f aca="false">SUM(Q87:AB87)</f>
        <v>12319.9048796522</v>
      </c>
      <c r="E87" s="65" t="n">
        <f aca="false">E23*(MIN(Assumptions!$D$90*IF(Assumptions!E$191=2027,1+Assumptions!$F$175,1)/12,Assumptions!E$202)*Assumptions!E$204+(Assumptions!E$206*MAX(0,MIN(Assumptions!$D$90*IF(Assumptions!E$191=2027,1+Assumptions!$F$175,1)/12,1.1*Assumptions!E$202)-Assumptions!E$202)+Assumptions!E$208*MAX(0,MIN(Assumptions!$D$90*IF(Assumptions!E$191=2027,1+Assumptions!$F$175,1)/12,1.5*Assumptions!E$202)-1.1*Assumptions!E$202)+Assumptions!E$210*MAX(0,Assumptions!$D$90*IF(Assumptions!E$191=2027,1+Assumptions!$F$175,1)/12-1.5*Assumptions!E$202)))</f>
        <v>1002.08333333333</v>
      </c>
      <c r="F87" s="65" t="n">
        <f aca="false">F23*(MIN(Assumptions!$D$90*IF(Assumptions!F$191=2027,1+Assumptions!$F$175,1)/12,Assumptions!F$202)*Assumptions!F$204+(Assumptions!F$206*MAX(0,MIN(Assumptions!$D$90*IF(Assumptions!F$191=2027,1+Assumptions!$F$175,1)/12,1.1*Assumptions!F$202)-Assumptions!F$202)+Assumptions!F$208*MAX(0,MIN(Assumptions!$D$90*IF(Assumptions!F$191=2027,1+Assumptions!$F$175,1)/12,1.5*Assumptions!F$202)-1.1*Assumptions!F$202)+Assumptions!F$210*MAX(0,Assumptions!$D$90*IF(Assumptions!F$191=2027,1+Assumptions!$F$175,1)/12-1.5*Assumptions!F$202)))</f>
        <v>1002.08333333333</v>
      </c>
      <c r="G87" s="65" t="n">
        <f aca="false">G23*(MIN(Assumptions!$D$90*IF(Assumptions!G$191=2027,1+Assumptions!$F$175,1)/12,Assumptions!G$202)*Assumptions!G$204+(Assumptions!G$206*MAX(0,MIN(Assumptions!$D$90*IF(Assumptions!G$191=2027,1+Assumptions!$F$175,1)/12,1.1*Assumptions!G$202)-Assumptions!G$202)+Assumptions!G$208*MAX(0,MIN(Assumptions!$D$90*IF(Assumptions!G$191=2027,1+Assumptions!$F$175,1)/12,1.5*Assumptions!G$202)-1.1*Assumptions!G$202)+Assumptions!G$210*MAX(0,Assumptions!$D$90*IF(Assumptions!G$191=2027,1+Assumptions!$F$175,1)/12-1.5*Assumptions!G$202)))</f>
        <v>1002.08333333333</v>
      </c>
      <c r="H87" s="65" t="n">
        <f aca="false">H23*(MIN(Assumptions!$D$90*IF(Assumptions!H$191=2027,1+Assumptions!$F$175,1)/12,Assumptions!H$202)*Assumptions!H$204+(Assumptions!H$206*MAX(0,MIN(Assumptions!$D$90*IF(Assumptions!H$191=2027,1+Assumptions!$F$175,1)/12,1.1*Assumptions!H$202)-Assumptions!H$202)+Assumptions!H$208*MAX(0,MIN(Assumptions!$D$90*IF(Assumptions!H$191=2027,1+Assumptions!$F$175,1)/12,1.5*Assumptions!H$202)-1.1*Assumptions!H$202)+Assumptions!H$210*MAX(0,Assumptions!$D$90*IF(Assumptions!H$191=2027,1+Assumptions!$F$175,1)/12-1.5*Assumptions!H$202)))</f>
        <v>1002.08333333333</v>
      </c>
      <c r="I87" s="65" t="n">
        <f aca="false">I23*(MIN(Assumptions!$D$90*IF(Assumptions!I$191=2027,1+Assumptions!$F$175,1)/12,Assumptions!I$202)*Assumptions!I$204+(Assumptions!I$206*MAX(0,MIN(Assumptions!$D$90*IF(Assumptions!I$191=2027,1+Assumptions!$F$175,1)/12,1.1*Assumptions!I$202)-Assumptions!I$202)+Assumptions!I$208*MAX(0,MIN(Assumptions!$D$90*IF(Assumptions!I$191=2027,1+Assumptions!$F$175,1)/12,1.5*Assumptions!I$202)-1.1*Assumptions!I$202)+Assumptions!I$210*MAX(0,Assumptions!$D$90*IF(Assumptions!I$191=2027,1+Assumptions!$F$175,1)/12-1.5*Assumptions!I$202)))</f>
        <v>1002.08333333333</v>
      </c>
      <c r="J87" s="65" t="n">
        <f aca="false">J23*(MIN(Assumptions!$D$90*IF(Assumptions!J$191=2027,1+Assumptions!$F$175,1)/12,Assumptions!J$202)*Assumptions!J$204+(Assumptions!J$206*MAX(0,MIN(Assumptions!$D$90*IF(Assumptions!J$191=2027,1+Assumptions!$F$175,1)/12,1.1*Assumptions!J$202)-Assumptions!J$202)+Assumptions!J$208*MAX(0,MIN(Assumptions!$D$90*IF(Assumptions!J$191=2027,1+Assumptions!$F$175,1)/12,1.5*Assumptions!J$202)-1.1*Assumptions!J$202)+Assumptions!J$210*MAX(0,Assumptions!$D$90*IF(Assumptions!J$191=2027,1+Assumptions!$F$175,1)/12-1.5*Assumptions!J$202)))</f>
        <v>1002.08333333333</v>
      </c>
      <c r="K87" s="65" t="n">
        <f aca="false">K23*(MIN(Assumptions!$D$90*IF(Assumptions!K$191=2027,1+Assumptions!$F$175,1)/12,Assumptions!K$202)*Assumptions!K$204+(Assumptions!K$206*MAX(0,MIN(Assumptions!$D$90*IF(Assumptions!K$191=2027,1+Assumptions!$F$175,1)/12,1.1*Assumptions!K$202)-Assumptions!K$202)+Assumptions!K$208*MAX(0,MIN(Assumptions!$D$90*IF(Assumptions!K$191=2027,1+Assumptions!$F$175,1)/12,1.5*Assumptions!K$202)-1.1*Assumptions!K$202)+Assumptions!K$210*MAX(0,Assumptions!$D$90*IF(Assumptions!K$191=2027,1+Assumptions!$F$175,1)/12-1.5*Assumptions!K$202)))</f>
        <v>1002.08333333333</v>
      </c>
      <c r="L87" s="65" t="n">
        <f aca="false">L23*(MIN(Assumptions!$D$90*IF(Assumptions!L$191=2027,1+Assumptions!$F$175,1)/12,Assumptions!L$202)*Assumptions!L$204+(Assumptions!L$206*MAX(0,MIN(Assumptions!$D$90*IF(Assumptions!L$191=2027,1+Assumptions!$F$175,1)/12,1.1*Assumptions!L$202)-Assumptions!L$202)+Assumptions!L$208*MAX(0,MIN(Assumptions!$D$90*IF(Assumptions!L$191=2027,1+Assumptions!$F$175,1)/12,1.5*Assumptions!L$202)-1.1*Assumptions!L$202)+Assumptions!L$210*MAX(0,Assumptions!$D$90*IF(Assumptions!L$191=2027,1+Assumptions!$F$175,1)/12-1.5*Assumptions!L$202)))</f>
        <v>1002.08333333333</v>
      </c>
      <c r="M87" s="65" t="n">
        <f aca="false">M23*(MIN(Assumptions!$D$90*IF(Assumptions!M$191=2027,1+Assumptions!$F$175,1)/12,Assumptions!M$202)*Assumptions!M$204+(Assumptions!M$206*MAX(0,MIN(Assumptions!$D$90*IF(Assumptions!M$191=2027,1+Assumptions!$F$175,1)/12,1.1*Assumptions!M$202)-Assumptions!M$202)+Assumptions!M$208*MAX(0,MIN(Assumptions!$D$90*IF(Assumptions!M$191=2027,1+Assumptions!$F$175,1)/12,1.5*Assumptions!M$202)-1.1*Assumptions!M$202)+Assumptions!M$210*MAX(0,Assumptions!$D$90*IF(Assumptions!M$191=2027,1+Assumptions!$F$175,1)/12-1.5*Assumptions!M$202)))</f>
        <v>995.402777777778</v>
      </c>
      <c r="N87" s="65" t="n">
        <f aca="false">N23*(MIN(Assumptions!$D$90*IF(Assumptions!N$191=2027,1+Assumptions!$F$175,1)/12,Assumptions!N$202)*Assumptions!N$204+(Assumptions!N$206*MAX(0,MIN(Assumptions!$D$90*IF(Assumptions!N$191=2027,1+Assumptions!$F$175,1)/12,1.1*Assumptions!N$202)-Assumptions!N$202)+Assumptions!N$208*MAX(0,MIN(Assumptions!$D$90*IF(Assumptions!N$191=2027,1+Assumptions!$F$175,1)/12,1.5*Assumptions!N$202)-1.1*Assumptions!N$202)+Assumptions!N$210*MAX(0,Assumptions!$D$90*IF(Assumptions!N$191=2027,1+Assumptions!$F$175,1)/12-1.5*Assumptions!N$202)))</f>
        <v>988.766759259259</v>
      </c>
      <c r="O87" s="65" t="n">
        <f aca="false">O23*(MIN(Assumptions!$D$90*IF(Assumptions!O$191=2027,1+Assumptions!$F$175,1)/12,Assumptions!O$202)*Assumptions!O$204+(Assumptions!O$206*MAX(0,MIN(Assumptions!$D$90*IF(Assumptions!O$191=2027,1+Assumptions!$F$175,1)/12,1.1*Assumptions!O$202)-Assumptions!O$202)+Assumptions!O$208*MAX(0,MIN(Assumptions!$D$90*IF(Assumptions!O$191=2027,1+Assumptions!$F$175,1)/12,1.5*Assumptions!O$202)-1.1*Assumptions!O$202)+Assumptions!O$210*MAX(0,Assumptions!$D$90*IF(Assumptions!O$191=2027,1+Assumptions!$F$175,1)/12-1.5*Assumptions!O$202)))</f>
        <v>988.855536419753</v>
      </c>
      <c r="P87" s="65" t="n">
        <f aca="false">P23*(MIN(Assumptions!$D$90*IF(Assumptions!P$191=2027,1+Assumptions!$F$175,1)/12,Assumptions!P$202)*Assumptions!P$204+(Assumptions!P$206*MAX(0,MIN(Assumptions!$D$90*IF(Assumptions!P$191=2027,1+Assumptions!$F$175,1)/12,1.1*Assumptions!P$202)-Assumptions!P$202)+Assumptions!P$208*MAX(0,MIN(Assumptions!$D$90*IF(Assumptions!P$191=2027,1+Assumptions!$F$175,1)/12,1.5*Assumptions!P$202)-1.1*Assumptions!P$202)+Assumptions!P$210*MAX(0,Assumptions!$D$90*IF(Assumptions!P$191=2027,1+Assumptions!$F$175,1)/12-1.5*Assumptions!P$202)))</f>
        <v>988.899184695473</v>
      </c>
      <c r="Q87" s="65" t="n">
        <f aca="false">Q23*(MIN(Assumptions!$D$90*IF(Assumptions!Q$191=2027,1+Assumptions!$F$175,1)/12,Assumptions!Q$202)*Assumptions!Q$204+(Assumptions!Q$206*MAX(0,MIN(Assumptions!$D$90*IF(Assumptions!Q$191=2027,1+Assumptions!$F$175,1)/12,1.1*Assumptions!Q$202)-Assumptions!Q$202)+Assumptions!Q$208*MAX(0,MIN(Assumptions!$D$90*IF(Assumptions!Q$191=2027,1+Assumptions!$F$175,1)/12,1.5*Assumptions!Q$202)-1.1*Assumptions!Q$202)+Assumptions!Q$210*MAX(0,Assumptions!$D$90*IF(Assumptions!Q$191=2027,1+Assumptions!$F$175,1)/12-1.5*Assumptions!Q$202)))</f>
        <v>1026.65900317023</v>
      </c>
      <c r="R87" s="65" t="n">
        <f aca="false">R23*(MIN(Assumptions!$D$90*IF(Assumptions!R$191=2027,1+Assumptions!$F$175,1)/12,Assumptions!R$202)*Assumptions!R$204+(Assumptions!R$206*MAX(0,MIN(Assumptions!$D$90*IF(Assumptions!R$191=2027,1+Assumptions!$F$175,1)/12,1.1*Assumptions!R$202)-Assumptions!R$202)+Assumptions!R$208*MAX(0,MIN(Assumptions!$D$90*IF(Assumptions!R$191=2027,1+Assumptions!$F$175,1)/12,1.5*Assumptions!R$202)-1.1*Assumptions!R$202)+Assumptions!R$210*MAX(0,Assumptions!$D$90*IF(Assumptions!R$191=2027,1+Assumptions!$F$175,1)/12-1.5*Assumptions!R$202)))</f>
        <v>1026.65870718075</v>
      </c>
      <c r="S87" s="65" t="n">
        <f aca="false">S23*(MIN(Assumptions!$D$90*IF(Assumptions!S$191=2027,1+Assumptions!$F$175,1)/12,Assumptions!S$202)*Assumptions!S$204+(Assumptions!S$206*MAX(0,MIN(Assumptions!$D$90*IF(Assumptions!S$191=2027,1+Assumptions!$F$175,1)/12,1.1*Assumptions!S$202)-Assumptions!S$202)+Assumptions!S$208*MAX(0,MIN(Assumptions!$D$90*IF(Assumptions!S$191=2027,1+Assumptions!$F$175,1)/12,1.5*Assumptions!S$202)-1.1*Assumptions!S$202)+Assumptions!S$210*MAX(0,Assumptions!$D$90*IF(Assumptions!S$191=2027,1+Assumptions!$F$175,1)/12-1.5*Assumptions!S$202)))</f>
        <v>1026.65871526433</v>
      </c>
      <c r="T87" s="65" t="n">
        <f aca="false">T23*(MIN(Assumptions!$D$90*IF(Assumptions!T$191=2027,1+Assumptions!$F$175,1)/12,Assumptions!T$202)*Assumptions!T$204+(Assumptions!T$206*MAX(0,MIN(Assumptions!$D$90*IF(Assumptions!T$191=2027,1+Assumptions!$F$175,1)/12,1.1*Assumptions!T$202)-Assumptions!T$202)+Assumptions!T$208*MAX(0,MIN(Assumptions!$D$90*IF(Assumptions!T$191=2027,1+Assumptions!$F$175,1)/12,1.5*Assumptions!T$202)-1.1*Assumptions!T$202)+Assumptions!T$210*MAX(0,Assumptions!$D$90*IF(Assumptions!T$191=2027,1+Assumptions!$F$175,1)/12-1.5*Assumptions!T$202)))</f>
        <v>1026.6587171837</v>
      </c>
      <c r="U87" s="65" t="n">
        <f aca="false">U23*(MIN(Assumptions!$D$90*IF(Assumptions!U$191=2027,1+Assumptions!$F$175,1)/12,Assumptions!U$202)*Assumptions!U$204+(Assumptions!U$206*MAX(0,MIN(Assumptions!$D$90*IF(Assumptions!U$191=2027,1+Assumptions!$F$175,1)/12,1.1*Assumptions!U$202)-Assumptions!U$202)+Assumptions!U$208*MAX(0,MIN(Assumptions!$D$90*IF(Assumptions!U$191=2027,1+Assumptions!$F$175,1)/12,1.5*Assumptions!U$202)-1.1*Assumptions!U$202)+Assumptions!U$210*MAX(0,Assumptions!$D$90*IF(Assumptions!U$191=2027,1+Assumptions!$F$175,1)/12-1.5*Assumptions!U$202)))</f>
        <v>1026.65871711701</v>
      </c>
      <c r="V87" s="65" t="n">
        <f aca="false">V23*(MIN(Assumptions!$D$90*IF(Assumptions!V$191=2027,1+Assumptions!$F$175,1)/12,Assumptions!V$202)*Assumptions!V$204+(Assumptions!V$206*MAX(0,MIN(Assumptions!$D$90*IF(Assumptions!V$191=2027,1+Assumptions!$F$175,1)/12,1.1*Assumptions!V$202)-Assumptions!V$202)+Assumptions!V$208*MAX(0,MIN(Assumptions!$D$90*IF(Assumptions!V$191=2027,1+Assumptions!$F$175,1)/12,1.5*Assumptions!V$202)-1.1*Assumptions!V$202)+Assumptions!V$210*MAX(0,Assumptions!$D$90*IF(Assumptions!V$191=2027,1+Assumptions!$F$175,1)/12-1.5*Assumptions!V$202)))</f>
        <v>1026.65871710466</v>
      </c>
      <c r="W87" s="65" t="n">
        <f aca="false">W23*(MIN(Assumptions!$D$90*IF(Assumptions!W$191=2027,1+Assumptions!$F$175,1)/12,Assumptions!W$202)*Assumptions!W$204+(Assumptions!W$206*MAX(0,MIN(Assumptions!$D$90*IF(Assumptions!W$191=2027,1+Assumptions!$F$175,1)/12,1.1*Assumptions!W$202)-Assumptions!W$202)+Assumptions!W$208*MAX(0,MIN(Assumptions!$D$90*IF(Assumptions!W$191=2027,1+Assumptions!$F$175,1)/12,1.5*Assumptions!W$202)-1.1*Assumptions!W$202)+Assumptions!W$210*MAX(0,Assumptions!$D$90*IF(Assumptions!W$191=2027,1+Assumptions!$F$175,1)/12-1.5*Assumptions!W$202)))</f>
        <v>1026.65871710519</v>
      </c>
      <c r="X87" s="65" t="n">
        <f aca="false">X23*(MIN(Assumptions!$D$90*IF(Assumptions!X$191=2027,1+Assumptions!$F$175,1)/12,Assumptions!X$202)*Assumptions!X$204+(Assumptions!X$206*MAX(0,MIN(Assumptions!$D$90*IF(Assumptions!X$191=2027,1+Assumptions!$F$175,1)/12,1.1*Assumptions!X$202)-Assumptions!X$202)+Assumptions!X$208*MAX(0,MIN(Assumptions!$D$90*IF(Assumptions!X$191=2027,1+Assumptions!$F$175,1)/12,1.5*Assumptions!X$202)-1.1*Assumptions!X$202)+Assumptions!X$210*MAX(0,Assumptions!$D$90*IF(Assumptions!X$191=2027,1+Assumptions!$F$175,1)/12-1.5*Assumptions!X$202)))</f>
        <v>1026.65871710527</v>
      </c>
      <c r="Y87" s="65" t="n">
        <f aca="false">Y23*(MIN(Assumptions!$D$90*IF(Assumptions!Y$191=2027,1+Assumptions!$F$175,1)/12,Assumptions!Y$202)*Assumptions!Y$204+(Assumptions!Y$206*MAX(0,MIN(Assumptions!$D$90*IF(Assumptions!Y$191=2027,1+Assumptions!$F$175,1)/12,1.1*Assumptions!Y$202)-Assumptions!Y$202)+Assumptions!Y$208*MAX(0,MIN(Assumptions!$D$90*IF(Assumptions!Y$191=2027,1+Assumptions!$F$175,1)/12,1.5*Assumptions!Y$202)-1.1*Assumptions!Y$202)+Assumptions!Y$210*MAX(0,Assumptions!$D$90*IF(Assumptions!Y$191=2027,1+Assumptions!$F$175,1)/12-1.5*Assumptions!Y$202)))</f>
        <v>1026.65871710526</v>
      </c>
      <c r="Z87" s="65" t="n">
        <f aca="false">Z23*(MIN(Assumptions!$D$90*IF(Assumptions!Z$191=2027,1+Assumptions!$F$175,1)/12,Assumptions!Z$202)*Assumptions!Z$204+(Assumptions!Z$206*MAX(0,MIN(Assumptions!$D$90*IF(Assumptions!Z$191=2027,1+Assumptions!$F$175,1)/12,1.1*Assumptions!Z$202)-Assumptions!Z$202)+Assumptions!Z$208*MAX(0,MIN(Assumptions!$D$90*IF(Assumptions!Z$191=2027,1+Assumptions!$F$175,1)/12,1.5*Assumptions!Z$202)-1.1*Assumptions!Z$202)+Assumptions!Z$210*MAX(0,Assumptions!$D$90*IF(Assumptions!Z$191=2027,1+Assumptions!$F$175,1)/12-1.5*Assumptions!Z$202)))</f>
        <v>1026.65871710526</v>
      </c>
      <c r="AA87" s="65" t="n">
        <f aca="false">AA23*(MIN(Assumptions!$D$90*IF(Assumptions!AA$191=2027,1+Assumptions!$F$175,1)/12,Assumptions!AA$202)*Assumptions!AA$204+(Assumptions!AA$206*MAX(0,MIN(Assumptions!$D$90*IF(Assumptions!AA$191=2027,1+Assumptions!$F$175,1)/12,1.1*Assumptions!AA$202)-Assumptions!AA$202)+Assumptions!AA$208*MAX(0,MIN(Assumptions!$D$90*IF(Assumptions!AA$191=2027,1+Assumptions!$F$175,1)/12,1.5*Assumptions!AA$202)-1.1*Assumptions!AA$202)+Assumptions!AA$210*MAX(0,Assumptions!$D$90*IF(Assumptions!AA$191=2027,1+Assumptions!$F$175,1)/12-1.5*Assumptions!AA$202)))</f>
        <v>1026.65871710526</v>
      </c>
      <c r="AB87" s="65" t="n">
        <f aca="false">AB23*(MIN(Assumptions!$D$90*IF(Assumptions!AB$191=2027,1+Assumptions!$F$175,1)/12,Assumptions!AB$202)*Assumptions!AB$204+(Assumptions!AB$206*MAX(0,MIN(Assumptions!$D$90*IF(Assumptions!AB$191=2027,1+Assumptions!$F$175,1)/12,1.1*Assumptions!AB$202)-Assumptions!AB$202)+Assumptions!AB$208*MAX(0,MIN(Assumptions!$D$90*IF(Assumptions!AB$191=2027,1+Assumptions!$F$175,1)/12,1.5*Assumptions!AB$202)-1.1*Assumptions!AB$202)+Assumptions!AB$210*MAX(0,Assumptions!$D$90*IF(Assumptions!AB$191=2027,1+Assumptions!$F$175,1)/12-1.5*Assumptions!AB$202)))</f>
        <v>1026.65871710526</v>
      </c>
    </row>
    <row r="88" customFormat="false" ht="15" hidden="false" customHeight="false" outlineLevel="0" collapsed="false">
      <c r="A88" s="28" t="s">
        <v>1137</v>
      </c>
      <c r="B88" s="63" t="s">
        <v>1138</v>
      </c>
      <c r="C88" s="64" t="n">
        <f aca="false">SUM(E88:P88)</f>
        <v>38348.9839607143</v>
      </c>
      <c r="D88" s="64" t="n">
        <f aca="false">SUM(Q88:AB88)</f>
        <v>39138.6582492025</v>
      </c>
      <c r="E88" s="65" t="n">
        <f aca="false">E9*Assumptions!$D$76*IF(Assumptions!E$191=2027,1+Assumptions!$F$175,1)/84</f>
        <v>3214.28571428571</v>
      </c>
      <c r="F88" s="65" t="n">
        <f aca="false">F9*Assumptions!$D$76*IF(Assumptions!F$191=2027,1+Assumptions!$F$175,1)/84</f>
        <v>3214.28571428571</v>
      </c>
      <c r="G88" s="65" t="n">
        <f aca="false">G9*Assumptions!$D$76*IF(Assumptions!G$191=2027,1+Assumptions!$F$175,1)/84</f>
        <v>3214.28571428571</v>
      </c>
      <c r="H88" s="65" t="n">
        <f aca="false">H9*Assumptions!$D$76*IF(Assumptions!H$191=2027,1+Assumptions!$F$175,1)/84</f>
        <v>3214.28571428571</v>
      </c>
      <c r="I88" s="65" t="n">
        <f aca="false">I9*Assumptions!$D$76*IF(Assumptions!I$191=2027,1+Assumptions!$F$175,1)/84</f>
        <v>3214.28571428571</v>
      </c>
      <c r="J88" s="65" t="n">
        <f aca="false">J9*Assumptions!$D$76*IF(Assumptions!J$191=2027,1+Assumptions!$F$175,1)/84</f>
        <v>3214.28571428571</v>
      </c>
      <c r="K88" s="65" t="n">
        <f aca="false">K9*Assumptions!$D$76*IF(Assumptions!K$191=2027,1+Assumptions!$F$175,1)/84</f>
        <v>3214.28571428571</v>
      </c>
      <c r="L88" s="65" t="n">
        <f aca="false">L9*Assumptions!$D$76*IF(Assumptions!L$191=2027,1+Assumptions!$F$175,1)/84</f>
        <v>3214.28571428571</v>
      </c>
      <c r="M88" s="65" t="n">
        <f aca="false">M9*Assumptions!$D$76*IF(Assumptions!M$191=2027,1+Assumptions!$F$175,1)/84</f>
        <v>3182.14285714286</v>
      </c>
      <c r="N88" s="65" t="n">
        <f aca="false">N9*Assumptions!$D$76*IF(Assumptions!N$191=2027,1+Assumptions!$F$175,1)/84</f>
        <v>3150.32142857143</v>
      </c>
      <c r="O88" s="65" t="n">
        <f aca="false">O9*Assumptions!$D$76*IF(Assumptions!O$191=2027,1+Assumptions!$F$175,1)/84</f>
        <v>3150.96107142857</v>
      </c>
      <c r="P88" s="65" t="n">
        <f aca="false">P9*Assumptions!$D$76*IF(Assumptions!P$191=2027,1+Assumptions!$F$175,1)/84</f>
        <v>3151.27288928571</v>
      </c>
      <c r="Q88" s="65" t="n">
        <f aca="false">Q9*Assumptions!$D$76*IF(Assumptions!Q$191=2027,1+Assumptions!$F$175,1)/84</f>
        <v>3261.55759279232</v>
      </c>
      <c r="R88" s="65" t="n">
        <f aca="false">R9*Assumptions!$D$76*IF(Assumptions!R$191=2027,1+Assumptions!$F$175,1)/84</f>
        <v>3261.55446395368</v>
      </c>
      <c r="S88" s="65" t="n">
        <f aca="false">S9*Assumptions!$D$76*IF(Assumptions!S$191=2027,1+Assumptions!$F$175,1)/84</f>
        <v>3261.55459371825</v>
      </c>
      <c r="T88" s="65" t="n">
        <f aca="false">T9*Assumptions!$D$76*IF(Assumptions!T$191=2027,1+Assumptions!$F$175,1)/84</f>
        <v>3261.55462370899</v>
      </c>
      <c r="U88" s="65" t="n">
        <f aca="false">U9*Assumptions!$D$76*IF(Assumptions!U$191=2027,1+Assumptions!$F$175,1)/84</f>
        <v>3261.55462211144</v>
      </c>
      <c r="V88" s="65" t="n">
        <f aca="false">V9*Assumptions!$D$76*IF(Assumptions!V$191=2027,1+Assumptions!$F$175,1)/84</f>
        <v>3261.55462182751</v>
      </c>
      <c r="W88" s="65" t="n">
        <f aca="false">W9*Assumptions!$D$76*IF(Assumptions!W$191=2027,1+Assumptions!$F$175,1)/84</f>
        <v>3261.55462184633</v>
      </c>
      <c r="X88" s="65" t="n">
        <f aca="false">X9*Assumptions!$D$76*IF(Assumptions!X$191=2027,1+Assumptions!$F$175,1)/84</f>
        <v>3261.55462184898</v>
      </c>
      <c r="Y88" s="65" t="n">
        <f aca="false">Y9*Assumptions!$D$76*IF(Assumptions!Y$191=2027,1+Assumptions!$F$175,1)/84</f>
        <v>3261.55462184876</v>
      </c>
      <c r="Z88" s="65" t="n">
        <f aca="false">Z9*Assumptions!$D$76*IF(Assumptions!Z$191=2027,1+Assumptions!$F$175,1)/84</f>
        <v>3261.55462184874</v>
      </c>
      <c r="AA88" s="65" t="n">
        <f aca="false">AA9*Assumptions!$D$76*IF(Assumptions!AA$191=2027,1+Assumptions!$F$175,1)/84</f>
        <v>3261.55462184874</v>
      </c>
      <c r="AB88" s="65" t="n">
        <f aca="false">AB9*Assumptions!$D$76*IF(Assumptions!AB$191=2027,1+Assumptions!$F$175,1)/84</f>
        <v>3261.55462184874</v>
      </c>
    </row>
    <row r="89" customFormat="false" ht="15" hidden="false" customHeight="false" outlineLevel="0" collapsed="false">
      <c r="A89" s="28" t="s">
        <v>1139</v>
      </c>
      <c r="B89" s="63" t="s">
        <v>1138</v>
      </c>
      <c r="C89" s="64" t="n">
        <f aca="false">SUM(E89:P89)</f>
        <v>80998.346497619</v>
      </c>
      <c r="D89" s="64" t="n">
        <f aca="false">SUM(Q89:AB89)</f>
        <v>100931.975833689</v>
      </c>
      <c r="E89" s="65" t="n">
        <f aca="false">E10*Assumptions!$D$77*IF(Assumptions!E$191=2027,1+Assumptions!$F$175,1)/84</f>
        <v>6214.28571428572</v>
      </c>
      <c r="F89" s="65" t="n">
        <f aca="false">F10*Assumptions!$D$77*IF(Assumptions!F$191=2027,1+Assumptions!$F$175,1)/84</f>
        <v>6214.28571428572</v>
      </c>
      <c r="G89" s="65" t="n">
        <f aca="false">G10*Assumptions!$D$77*IF(Assumptions!G$191=2027,1+Assumptions!$F$175,1)/84</f>
        <v>6904.76190476191</v>
      </c>
      <c r="H89" s="65" t="n">
        <f aca="false">H10*Assumptions!$D$77*IF(Assumptions!H$191=2027,1+Assumptions!$F$175,1)/84</f>
        <v>6904.76190476191</v>
      </c>
      <c r="I89" s="65" t="n">
        <f aca="false">I10*Assumptions!$D$77*IF(Assumptions!I$191=2027,1+Assumptions!$F$175,1)/84</f>
        <v>6904.76190476191</v>
      </c>
      <c r="J89" s="65" t="n">
        <f aca="false">J10*Assumptions!$D$77*IF(Assumptions!J$191=2027,1+Assumptions!$F$175,1)/84</f>
        <v>6904.76190476191</v>
      </c>
      <c r="K89" s="65" t="n">
        <f aca="false">K10*Assumptions!$D$77*IF(Assumptions!K$191=2027,1+Assumptions!$F$175,1)/84</f>
        <v>6904.76190476191</v>
      </c>
      <c r="L89" s="65" t="n">
        <f aca="false">L10*Assumptions!$D$77*IF(Assumptions!L$191=2027,1+Assumptions!$F$175,1)/84</f>
        <v>6904.76190476191</v>
      </c>
      <c r="M89" s="65" t="n">
        <f aca="false">M10*Assumptions!$D$77*IF(Assumptions!M$191=2027,1+Assumptions!$F$175,1)/84</f>
        <v>6835.71428571429</v>
      </c>
      <c r="N89" s="65" t="n">
        <f aca="false">N10*Assumptions!$D$77*IF(Assumptions!N$191=2027,1+Assumptions!$F$175,1)/84</f>
        <v>6767.35714285714</v>
      </c>
      <c r="O89" s="65" t="n">
        <f aca="false">O10*Assumptions!$D$77*IF(Assumptions!O$191=2027,1+Assumptions!$F$175,1)/84</f>
        <v>6768.73119047619</v>
      </c>
      <c r="P89" s="65" t="n">
        <f aca="false">P10*Assumptions!$D$77*IF(Assumptions!P$191=2027,1+Assumptions!$F$175,1)/84</f>
        <v>6769.40102142857</v>
      </c>
      <c r="Q89" s="65" t="n">
        <f aca="false">Q10*Assumptions!$D$77*IF(Assumptions!Q$191=2027,1+Assumptions!$F$175,1)/84</f>
        <v>8435.59461732107</v>
      </c>
      <c r="R89" s="65" t="n">
        <f aca="false">R10*Assumptions!$D$77*IF(Assumptions!R$191=2027,1+Assumptions!$F$175,1)/84</f>
        <v>8421.29503896929</v>
      </c>
      <c r="S89" s="65" t="n">
        <f aca="false">S10*Assumptions!$D$77*IF(Assumptions!S$191=2027,1+Assumptions!$F$175,1)/84</f>
        <v>8407.14538915138</v>
      </c>
      <c r="T89" s="65" t="n">
        <f aca="false">T10*Assumptions!$D$77*IF(Assumptions!T$191=2027,1+Assumptions!$F$175,1)/84</f>
        <v>8407.42988143308</v>
      </c>
      <c r="U89" s="65" t="n">
        <f aca="false">U10*Assumptions!$D$77*IF(Assumptions!U$191=2027,1+Assumptions!$F$175,1)/84</f>
        <v>8407.56853300844</v>
      </c>
      <c r="V89" s="65" t="n">
        <f aca="false">V10*Assumptions!$D$77*IF(Assumptions!V$191=2027,1+Assumptions!$F$175,1)/84</f>
        <v>8407.56430156987</v>
      </c>
      <c r="W89" s="65" t="n">
        <f aca="false">W10*Assumptions!$D$77*IF(Assumptions!W$191=2027,1+Assumptions!$F$175,1)/84</f>
        <v>8407.5629573685</v>
      </c>
      <c r="X89" s="65" t="n">
        <f aca="false">X10*Assumptions!$D$77*IF(Assumptions!X$191=2027,1+Assumptions!$F$175,1)/84</f>
        <v>8407.5630131249</v>
      </c>
      <c r="Y89" s="65" t="n">
        <f aca="false">Y10*Assumptions!$D$77*IF(Assumptions!Y$191=2027,1+Assumptions!$F$175,1)/84</f>
        <v>8407.56302600935</v>
      </c>
      <c r="Z89" s="65" t="n">
        <f aca="false">Z10*Assumptions!$D$77*IF(Assumptions!Z$191=2027,1+Assumptions!$F$175,1)/84</f>
        <v>8407.56302532294</v>
      </c>
      <c r="AA89" s="65" t="n">
        <f aca="false">AA10*Assumptions!$D$77*IF(Assumptions!AA$191=2027,1+Assumptions!$F$175,1)/84</f>
        <v>8407.56302520096</v>
      </c>
      <c r="AB89" s="65" t="n">
        <f aca="false">AB10*Assumptions!$D$77*IF(Assumptions!AB$191=2027,1+Assumptions!$F$175,1)/84</f>
        <v>8407.56302520905</v>
      </c>
    </row>
    <row r="90" customFormat="false" ht="15" hidden="false" customHeight="false" outlineLevel="0" collapsed="false">
      <c r="A90" s="28" t="s">
        <v>1140</v>
      </c>
      <c r="B90" s="63" t="s">
        <v>1138</v>
      </c>
      <c r="C90" s="64" t="n">
        <f aca="false">SUM(E90:P90)</f>
        <v>83836.09883</v>
      </c>
      <c r="D90" s="64" t="n">
        <f aca="false">SUM(Q90:AB90)</f>
        <v>100487.156247737</v>
      </c>
      <c r="E90" s="65" t="n">
        <f aca="false">E11*Assumptions!$D$78*IF(Assumptions!E$191=2027,1+Assumptions!$F$175,1)/84</f>
        <v>6285.71428571429</v>
      </c>
      <c r="F90" s="65" t="n">
        <f aca="false">F11*Assumptions!$D$78*IF(Assumptions!F$191=2027,1+Assumptions!$F$175,1)/84</f>
        <v>6809.52380952381</v>
      </c>
      <c r="G90" s="65" t="n">
        <f aca="false">G11*Assumptions!$D$78*IF(Assumptions!G$191=2027,1+Assumptions!$F$175,1)/84</f>
        <v>6809.52380952381</v>
      </c>
      <c r="H90" s="65" t="n">
        <f aca="false">H11*Assumptions!$D$78*IF(Assumptions!H$191=2027,1+Assumptions!$F$175,1)/84</f>
        <v>6809.52380952381</v>
      </c>
      <c r="I90" s="65" t="n">
        <f aca="false">I11*Assumptions!$D$78*IF(Assumptions!I$191=2027,1+Assumptions!$F$175,1)/84</f>
        <v>7333.33333333333</v>
      </c>
      <c r="J90" s="65" t="n">
        <f aca="false">J11*Assumptions!$D$78*IF(Assumptions!J$191=2027,1+Assumptions!$F$175,1)/84</f>
        <v>7333.33333333333</v>
      </c>
      <c r="K90" s="65" t="n">
        <f aca="false">K11*Assumptions!$D$78*IF(Assumptions!K$191=2027,1+Assumptions!$F$175,1)/84</f>
        <v>6809.52380952381</v>
      </c>
      <c r="L90" s="65" t="n">
        <f aca="false">L11*Assumptions!$D$78*IF(Assumptions!L$191=2027,1+Assumptions!$F$175,1)/84</f>
        <v>6809.52380952381</v>
      </c>
      <c r="M90" s="65" t="n">
        <f aca="false">M11*Assumptions!$D$78*IF(Assumptions!M$191=2027,1+Assumptions!$F$175,1)/84</f>
        <v>7265.2380952381</v>
      </c>
      <c r="N90" s="65" t="n">
        <f aca="false">N11*Assumptions!$D$78*IF(Assumptions!N$191=2027,1+Assumptions!$F$175,1)/84</f>
        <v>7192.58571428571</v>
      </c>
      <c r="O90" s="65" t="n">
        <f aca="false">O11*Assumptions!$D$78*IF(Assumptions!O$191=2027,1+Assumptions!$F$175,1)/84</f>
        <v>7188.75509523809</v>
      </c>
      <c r="P90" s="65" t="n">
        <f aca="false">P11*Assumptions!$D$78*IF(Assumptions!P$191=2027,1+Assumptions!$F$175,1)/84</f>
        <v>7189.51992523809</v>
      </c>
      <c r="Q90" s="65" t="n">
        <f aca="false">Q11*Assumptions!$D$78*IF(Assumptions!Q$191=2027,1+Assumptions!$F$175,1)/84</f>
        <v>7983.32771068093</v>
      </c>
      <c r="R90" s="65" t="n">
        <f aca="false">R11*Assumptions!$D$78*IF(Assumptions!R$191=2027,1+Assumptions!$F$175,1)/84</f>
        <v>7977.89804880983</v>
      </c>
      <c r="S90" s="65" t="n">
        <f aca="false">S11*Assumptions!$D$78*IF(Assumptions!S$191=2027,1+Assumptions!$F$175,1)/84</f>
        <v>7972.53059954795</v>
      </c>
      <c r="T90" s="65" t="n">
        <f aca="false">T11*Assumptions!$D$78*IF(Assumptions!T$191=2027,1+Assumptions!$F$175,1)/84</f>
        <v>8514.78142780214</v>
      </c>
      <c r="U90" s="65" t="n">
        <f aca="false">U11*Assumptions!$D$78*IF(Assumptions!U$191=2027,1+Assumptions!$F$175,1)/84</f>
        <v>8509.41259401221</v>
      </c>
      <c r="V90" s="65" t="n">
        <f aca="false">V11*Assumptions!$D$78*IF(Assumptions!V$191=2027,1+Assumptions!$F$175,1)/84</f>
        <v>8504.04377406757</v>
      </c>
      <c r="W90" s="65" t="n">
        <f aca="false">W11*Assumptions!$D$78*IF(Assumptions!W$191=2027,1+Assumptions!$F$175,1)/84</f>
        <v>8504.15115060492</v>
      </c>
      <c r="X90" s="65" t="n">
        <f aca="false">X11*Assumptions!$D$78*IF(Assumptions!X$191=2027,1+Assumptions!$F$175,1)/84</f>
        <v>8504.20376503899</v>
      </c>
      <c r="Y90" s="65" t="n">
        <f aca="false">Y11*Assumptions!$D$78*IF(Assumptions!Y$191=2027,1+Assumptions!$F$175,1)/84</f>
        <v>8504.20216512927</v>
      </c>
      <c r="Z90" s="65" t="n">
        <f aca="false">Z11*Assumptions!$D$78*IF(Assumptions!Z$191=2027,1+Assumptions!$F$175,1)/84</f>
        <v>8504.20165498403</v>
      </c>
      <c r="AA90" s="65" t="n">
        <f aca="false">AA11*Assumptions!$D$78*IF(Assumptions!AA$191=2027,1+Assumptions!$F$175,1)/84</f>
        <v>8504.20167608458</v>
      </c>
      <c r="AB90" s="65" t="n">
        <f aca="false">AB11*Assumptions!$D$78*IF(Assumptions!AB$191=2027,1+Assumptions!$F$175,1)/84</f>
        <v>8504.20168097503</v>
      </c>
    </row>
    <row r="91" customFormat="false" ht="15" hidden="false" customHeight="false" outlineLevel="0" collapsed="false">
      <c r="A91" s="28" t="s">
        <v>1141</v>
      </c>
      <c r="B91" s="63" t="s">
        <v>1138</v>
      </c>
      <c r="C91" s="64" t="n">
        <f aca="false">SUM(E91:P91)</f>
        <v>24203.9032364286</v>
      </c>
      <c r="D91" s="64" t="n">
        <f aca="false">SUM(Q91:AB91)</f>
        <v>29980.0094585379</v>
      </c>
      <c r="E91" s="65" t="n">
        <f aca="false">E12*Assumptions!$D$79*IF(Assumptions!E$191=2027,1+Assumptions!$F$175,1)/84</f>
        <v>1845.2380952381</v>
      </c>
      <c r="F91" s="65" t="n">
        <f aca="false">F12*Assumptions!$D$79*IF(Assumptions!F$191=2027,1+Assumptions!$F$175,1)/84</f>
        <v>1845.2380952381</v>
      </c>
      <c r="G91" s="65" t="n">
        <f aca="false">G12*Assumptions!$D$79*IF(Assumptions!G$191=2027,1+Assumptions!$F$175,1)/84</f>
        <v>1845.2380952381</v>
      </c>
      <c r="H91" s="65" t="n">
        <f aca="false">H12*Assumptions!$D$79*IF(Assumptions!H$191=2027,1+Assumptions!$F$175,1)/84</f>
        <v>1845.2380952381</v>
      </c>
      <c r="I91" s="65" t="n">
        <f aca="false">I12*Assumptions!$D$79*IF(Assumptions!I$191=2027,1+Assumptions!$F$175,1)/84</f>
        <v>1845.2380952381</v>
      </c>
      <c r="J91" s="65" t="n">
        <f aca="false">J12*Assumptions!$D$79*IF(Assumptions!J$191=2027,1+Assumptions!$F$175,1)/84</f>
        <v>1845.2380952381</v>
      </c>
      <c r="K91" s="65" t="n">
        <f aca="false">K12*Assumptions!$D$79*IF(Assumptions!K$191=2027,1+Assumptions!$F$175,1)/84</f>
        <v>2214.28571428571</v>
      </c>
      <c r="L91" s="65" t="n">
        <f aca="false">L12*Assumptions!$D$79*IF(Assumptions!L$191=2027,1+Assumptions!$F$175,1)/84</f>
        <v>2214.28571428571</v>
      </c>
      <c r="M91" s="65" t="n">
        <f aca="false">M12*Assumptions!$D$79*IF(Assumptions!M$191=2027,1+Assumptions!$F$175,1)/84</f>
        <v>2192.14285714286</v>
      </c>
      <c r="N91" s="65" t="n">
        <f aca="false">N12*Assumptions!$D$79*IF(Assumptions!N$191=2027,1+Assumptions!$F$175,1)/84</f>
        <v>2170.22142857143</v>
      </c>
      <c r="O91" s="65" t="n">
        <f aca="false">O12*Assumptions!$D$79*IF(Assumptions!O$191=2027,1+Assumptions!$F$175,1)/84</f>
        <v>2170.66207142857</v>
      </c>
      <c r="P91" s="65" t="n">
        <f aca="false">P12*Assumptions!$D$79*IF(Assumptions!P$191=2027,1+Assumptions!$F$175,1)/84</f>
        <v>2170.87687928571</v>
      </c>
      <c r="Q91" s="65" t="n">
        <f aca="false">Q12*Assumptions!$D$79*IF(Assumptions!Q$191=2027,1+Assumptions!$F$175,1)/84</f>
        <v>2246.85078614582</v>
      </c>
      <c r="R91" s="65" t="n">
        <f aca="false">R12*Assumptions!$D$79*IF(Assumptions!R$191=2027,1+Assumptions!$F$175,1)/84</f>
        <v>2246.84863072365</v>
      </c>
      <c r="S91" s="65" t="n">
        <f aca="false">S12*Assumptions!$D$79*IF(Assumptions!S$191=2027,1+Assumptions!$F$175,1)/84</f>
        <v>2246.84872011702</v>
      </c>
      <c r="T91" s="65" t="n">
        <f aca="false">T12*Assumptions!$D$79*IF(Assumptions!T$191=2027,1+Assumptions!$F$175,1)/84</f>
        <v>2246.84874077731</v>
      </c>
      <c r="U91" s="65" t="n">
        <f aca="false">U12*Assumptions!$D$79*IF(Assumptions!U$191=2027,1+Assumptions!$F$175,1)/84</f>
        <v>2246.84873967677</v>
      </c>
      <c r="V91" s="65" t="n">
        <f aca="false">V12*Assumptions!$D$79*IF(Assumptions!V$191=2027,1+Assumptions!$F$175,1)/84</f>
        <v>2246.84873948117</v>
      </c>
      <c r="W91" s="65" t="n">
        <f aca="false">W12*Assumptions!$D$79*IF(Assumptions!W$191=2027,1+Assumptions!$F$175,1)/84</f>
        <v>2246.84873949414</v>
      </c>
      <c r="X91" s="65" t="n">
        <f aca="false">X12*Assumptions!$D$79*IF(Assumptions!X$191=2027,1+Assumptions!$F$175,1)/84</f>
        <v>2246.84873949596</v>
      </c>
      <c r="Y91" s="65" t="n">
        <f aca="false">Y12*Assumptions!$D$79*IF(Assumptions!Y$191=2027,1+Assumptions!$F$175,1)/84</f>
        <v>3010.77731092439</v>
      </c>
      <c r="Z91" s="65" t="n">
        <f aca="false">Z12*Assumptions!$D$79*IF(Assumptions!Z$191=2027,1+Assumptions!$F$175,1)/84</f>
        <v>3003.13802521008</v>
      </c>
      <c r="AA91" s="65" t="n">
        <f aca="false">AA12*Assumptions!$D$79*IF(Assumptions!AA$191=2027,1+Assumptions!$F$175,1)/84</f>
        <v>2995.57513235294</v>
      </c>
      <c r="AB91" s="65" t="n">
        <f aca="false">AB12*Assumptions!$D$79*IF(Assumptions!AB$191=2027,1+Assumptions!$F$175,1)/84</f>
        <v>2995.72715413866</v>
      </c>
    </row>
    <row r="92" customFormat="false" ht="15" hidden="false" customHeight="false" outlineLevel="0" collapsed="false">
      <c r="A92" s="28" t="s">
        <v>1142</v>
      </c>
      <c r="B92" s="63" t="s">
        <v>1138</v>
      </c>
      <c r="C92" s="64" t="n">
        <f aca="false">SUM(E92:P92)</f>
        <v>34120.6266672178</v>
      </c>
      <c r="D92" s="64" t="n">
        <f aca="false">SUM(Q92:AB92)</f>
        <v>43647.8591968726</v>
      </c>
      <c r="E92" s="65" t="n">
        <f aca="false">E13*Assumptions!$D$80*IF(Assumptions!E$191=2027,1+Assumptions!$F$175,1)/84</f>
        <v>2857.14285714286</v>
      </c>
      <c r="F92" s="65" t="n">
        <f aca="false">F13*Assumptions!$D$80*IF(Assumptions!F$191=2027,1+Assumptions!$F$175,1)/84</f>
        <v>2857.14285714286</v>
      </c>
      <c r="G92" s="65" t="n">
        <f aca="false">G13*Assumptions!$D$80*IF(Assumptions!G$191=2027,1+Assumptions!$F$175,1)/84</f>
        <v>2857.14285714286</v>
      </c>
      <c r="H92" s="65" t="n">
        <f aca="false">H13*Assumptions!$D$80*IF(Assumptions!H$191=2027,1+Assumptions!$F$175,1)/84</f>
        <v>2857.14285714286</v>
      </c>
      <c r="I92" s="65" t="n">
        <f aca="false">I13*Assumptions!$D$80*IF(Assumptions!I$191=2027,1+Assumptions!$F$175,1)/84</f>
        <v>2857.14285714286</v>
      </c>
      <c r="J92" s="65" t="n">
        <f aca="false">J13*Assumptions!$D$80*IF(Assumptions!J$191=2027,1+Assumptions!$F$175,1)/84</f>
        <v>2857.14285714286</v>
      </c>
      <c r="K92" s="65" t="n">
        <f aca="false">K13*Assumptions!$D$80*IF(Assumptions!K$191=2027,1+Assumptions!$F$175,1)/84</f>
        <v>2857.14285714286</v>
      </c>
      <c r="L92" s="65" t="n">
        <f aca="false">L13*Assumptions!$D$80*IF(Assumptions!L$191=2027,1+Assumptions!$F$175,1)/84</f>
        <v>2857.14285714286</v>
      </c>
      <c r="M92" s="65" t="n">
        <f aca="false">M13*Assumptions!$D$80*IF(Assumptions!M$191=2027,1+Assumptions!$F$175,1)/84</f>
        <v>2833.33333333333</v>
      </c>
      <c r="N92" s="65" t="n">
        <f aca="false">N13*Assumptions!$D$80*IF(Assumptions!N$191=2027,1+Assumptions!$F$175,1)/84</f>
        <v>2809.72222222222</v>
      </c>
      <c r="O92" s="65" t="n">
        <f aca="false">O13*Assumptions!$D$80*IF(Assumptions!O$191=2027,1+Assumptions!$F$175,1)/84</f>
        <v>2810.11739417989</v>
      </c>
      <c r="P92" s="65" t="n">
        <f aca="false">P13*Assumptions!$D$80*IF(Assumptions!P$191=2027,1+Assumptions!$F$175,1)/84</f>
        <v>2810.31086033951</v>
      </c>
      <c r="Q92" s="65" t="n">
        <f aca="false">Q13*Assumptions!$D$80*IF(Assumptions!Q$191=2027,1+Assumptions!$F$175,1)/84</f>
        <v>3647.95237773334</v>
      </c>
      <c r="R92" s="65" t="n">
        <f aca="false">R13*Assumptions!$D$80*IF(Assumptions!R$191=2027,1+Assumptions!$F$175,1)/84</f>
        <v>3641.79003711037</v>
      </c>
      <c r="S92" s="65" t="n">
        <f aca="false">S13*Assumptions!$D$80*IF(Assumptions!S$191=2027,1+Assumptions!$F$175,1)/84</f>
        <v>3635.68071797154</v>
      </c>
      <c r="T92" s="65" t="n">
        <f aca="false">T13*Assumptions!$D$80*IF(Assumptions!T$191=2027,1+Assumptions!$F$175,1)/84</f>
        <v>3635.78298180289</v>
      </c>
      <c r="U92" s="65" t="n">
        <f aca="false">U13*Assumptions!$D$80*IF(Assumptions!U$191=2027,1+Assumptions!$F$175,1)/84</f>
        <v>3635.83304059712</v>
      </c>
      <c r="V92" s="65" t="n">
        <f aca="false">V13*Assumptions!$D$80*IF(Assumptions!V$191=2027,1+Assumptions!$F$175,1)/84</f>
        <v>3635.8317712419</v>
      </c>
      <c r="W92" s="65" t="n">
        <f aca="false">W13*Assumptions!$D$80*IF(Assumptions!W$191=2027,1+Assumptions!$F$175,1)/84</f>
        <v>3635.83136466325</v>
      </c>
      <c r="X92" s="65" t="n">
        <f aca="false">X13*Assumptions!$D$80*IF(Assumptions!X$191=2027,1+Assumptions!$F$175,1)/84</f>
        <v>3635.83137862936</v>
      </c>
      <c r="Y92" s="65" t="n">
        <f aca="false">Y13*Assumptions!$D$80*IF(Assumptions!Y$191=2027,1+Assumptions!$F$175,1)/84</f>
        <v>3635.83138190113</v>
      </c>
      <c r="Z92" s="65" t="n">
        <f aca="false">Z13*Assumptions!$D$80*IF(Assumptions!Z$191=2027,1+Assumptions!$F$175,1)/84</f>
        <v>3635.83138175748</v>
      </c>
      <c r="AA92" s="65" t="n">
        <f aca="false">AA13*Assumptions!$D$80*IF(Assumptions!AA$191=2027,1+Assumptions!$F$175,1)/84</f>
        <v>3635.83138173142</v>
      </c>
      <c r="AB92" s="65" t="n">
        <f aca="false">AB13*Assumptions!$D$80*IF(Assumptions!AB$191=2027,1+Assumptions!$F$175,1)/84</f>
        <v>3635.83138173283</v>
      </c>
    </row>
    <row r="93" customFormat="false" ht="15" hidden="false" customHeight="false" outlineLevel="0" collapsed="false">
      <c r="A93" s="28" t="s">
        <v>1143</v>
      </c>
      <c r="B93" s="63" t="s">
        <v>1138</v>
      </c>
      <c r="C93" s="64" t="n">
        <f aca="false">SUM(E93:P93)</f>
        <v>18339.8368336296</v>
      </c>
      <c r="D93" s="64" t="n">
        <f aca="false">SUM(Q93:AB93)</f>
        <v>18760.8907242391</v>
      </c>
      <c r="E93" s="65" t="n">
        <f aca="false">E14*Assumptions!$D$81*IF(Assumptions!E$191=2027,1+Assumptions!$F$175,1)/84</f>
        <v>1535.71428571429</v>
      </c>
      <c r="F93" s="65" t="n">
        <f aca="false">F14*Assumptions!$D$81*IF(Assumptions!F$191=2027,1+Assumptions!$F$175,1)/84</f>
        <v>1535.71428571429</v>
      </c>
      <c r="G93" s="65" t="n">
        <f aca="false">G14*Assumptions!$D$81*IF(Assumptions!G$191=2027,1+Assumptions!$F$175,1)/84</f>
        <v>1535.71428571429</v>
      </c>
      <c r="H93" s="65" t="n">
        <f aca="false">H14*Assumptions!$D$81*IF(Assumptions!H$191=2027,1+Assumptions!$F$175,1)/84</f>
        <v>1535.71428571429</v>
      </c>
      <c r="I93" s="65" t="n">
        <f aca="false">I14*Assumptions!$D$81*IF(Assumptions!I$191=2027,1+Assumptions!$F$175,1)/84</f>
        <v>1535.71428571429</v>
      </c>
      <c r="J93" s="65" t="n">
        <f aca="false">J14*Assumptions!$D$81*IF(Assumptions!J$191=2027,1+Assumptions!$F$175,1)/84</f>
        <v>1535.71428571429</v>
      </c>
      <c r="K93" s="65" t="n">
        <f aca="false">K14*Assumptions!$D$81*IF(Assumptions!K$191=2027,1+Assumptions!$F$175,1)/84</f>
        <v>1535.71428571429</v>
      </c>
      <c r="L93" s="65" t="n">
        <f aca="false">L14*Assumptions!$D$81*IF(Assumptions!L$191=2027,1+Assumptions!$F$175,1)/84</f>
        <v>1535.71428571429</v>
      </c>
      <c r="M93" s="65" t="n">
        <f aca="false">M14*Assumptions!$D$81*IF(Assumptions!M$191=2027,1+Assumptions!$F$175,1)/84</f>
        <v>1522.91666666667</v>
      </c>
      <c r="N93" s="65" t="n">
        <f aca="false">N14*Assumptions!$D$81*IF(Assumptions!N$191=2027,1+Assumptions!$F$175,1)/84</f>
        <v>1510.22569444444</v>
      </c>
      <c r="O93" s="65" t="n">
        <f aca="false">O14*Assumptions!$D$81*IF(Assumptions!O$191=2027,1+Assumptions!$F$175,1)/84</f>
        <v>1510.43809937169</v>
      </c>
      <c r="P93" s="65" t="n">
        <f aca="false">P14*Assumptions!$D$81*IF(Assumptions!P$191=2027,1+Assumptions!$F$175,1)/84</f>
        <v>1510.54208743248</v>
      </c>
      <c r="Q93" s="65" t="n">
        <f aca="false">Q14*Assumptions!$D$81*IF(Assumptions!Q$191=2027,1+Assumptions!$F$175,1)/84</f>
        <v>1563.4083316031</v>
      </c>
      <c r="R93" s="65" t="n">
        <f aca="false">R14*Assumptions!$D$81*IF(Assumptions!R$191=2027,1+Assumptions!$F$175,1)/84</f>
        <v>1563.40745744682</v>
      </c>
      <c r="S93" s="65" t="n">
        <f aca="false">S14*Assumptions!$D$81*IF(Assumptions!S$191=2027,1+Assumptions!$F$175,1)/84</f>
        <v>1563.4074874722</v>
      </c>
      <c r="T93" s="65" t="n">
        <f aca="false">T14*Assumptions!$D$81*IF(Assumptions!T$191=2027,1+Assumptions!$F$175,1)/84</f>
        <v>1563.40749450663</v>
      </c>
      <c r="U93" s="65" t="n">
        <f aca="false">U14*Assumptions!$D$81*IF(Assumptions!U$191=2027,1+Assumptions!$F$175,1)/84</f>
        <v>1563.4074941978</v>
      </c>
      <c r="V93" s="65" t="n">
        <f aca="false">V14*Assumptions!$D$81*IF(Assumptions!V$191=2027,1+Assumptions!$F$175,1)/84</f>
        <v>1563.40749414175</v>
      </c>
      <c r="W93" s="65" t="n">
        <f aca="false">W14*Assumptions!$D$81*IF(Assumptions!W$191=2027,1+Assumptions!$F$175,1)/84</f>
        <v>1563.40749414479</v>
      </c>
      <c r="X93" s="65" t="n">
        <f aca="false">X14*Assumptions!$D$81*IF(Assumptions!X$191=2027,1+Assumptions!$F$175,1)/84</f>
        <v>1563.40749414523</v>
      </c>
      <c r="Y93" s="65" t="n">
        <f aca="false">Y14*Assumptions!$D$81*IF(Assumptions!Y$191=2027,1+Assumptions!$F$175,1)/84</f>
        <v>1563.4074941452</v>
      </c>
      <c r="Z93" s="65" t="n">
        <f aca="false">Z14*Assumptions!$D$81*IF(Assumptions!Z$191=2027,1+Assumptions!$F$175,1)/84</f>
        <v>1563.4074941452</v>
      </c>
      <c r="AA93" s="65" t="n">
        <f aca="false">AA14*Assumptions!$D$81*IF(Assumptions!AA$191=2027,1+Assumptions!$F$175,1)/84</f>
        <v>1563.4074941452</v>
      </c>
      <c r="AB93" s="65" t="n">
        <f aca="false">AB14*Assumptions!$D$81*IF(Assumptions!AB$191=2027,1+Assumptions!$F$175,1)/84</f>
        <v>1563.4074941452</v>
      </c>
    </row>
    <row r="94" customFormat="false" ht="15" hidden="false" customHeight="false" outlineLevel="0" collapsed="false">
      <c r="A94" s="28" t="s">
        <v>1144</v>
      </c>
      <c r="B94" s="63" t="s">
        <v>1138</v>
      </c>
      <c r="C94" s="64" t="n">
        <f aca="false">SUM(E94:P94)</f>
        <v>31455.2413698227</v>
      </c>
      <c r="D94" s="64" t="n">
        <f aca="false">SUM(Q94:AB94)</f>
        <v>33872.550039542</v>
      </c>
      <c r="E94" s="65" t="n">
        <f aca="false">E15*Assumptions!$D$82*IF(Assumptions!E$191=2027,1+Assumptions!$F$175,1)/84</f>
        <v>2571.42857142857</v>
      </c>
      <c r="F94" s="65" t="n">
        <f aca="false">F15*Assumptions!$D$82*IF(Assumptions!F$191=2027,1+Assumptions!$F$175,1)/84</f>
        <v>2571.42857142857</v>
      </c>
      <c r="G94" s="65" t="n">
        <f aca="false">G15*Assumptions!$D$82*IF(Assumptions!G$191=2027,1+Assumptions!$F$175,1)/84</f>
        <v>2571.42857142857</v>
      </c>
      <c r="H94" s="65" t="n">
        <f aca="false">H15*Assumptions!$D$82*IF(Assumptions!H$191=2027,1+Assumptions!$F$175,1)/84</f>
        <v>2571.42857142857</v>
      </c>
      <c r="I94" s="65" t="n">
        <f aca="false">I15*Assumptions!$D$82*IF(Assumptions!I$191=2027,1+Assumptions!$F$175,1)/84</f>
        <v>2892.85714285714</v>
      </c>
      <c r="J94" s="65" t="n">
        <f aca="false">J15*Assumptions!$D$82*IF(Assumptions!J$191=2027,1+Assumptions!$F$175,1)/84</f>
        <v>2892.85714285714</v>
      </c>
      <c r="K94" s="65" t="n">
        <f aca="false">K15*Assumptions!$D$82*IF(Assumptions!K$191=2027,1+Assumptions!$F$175,1)/84</f>
        <v>2892.85714285714</v>
      </c>
      <c r="L94" s="65" t="n">
        <f aca="false">L15*Assumptions!$D$82*IF(Assumptions!L$191=2027,1+Assumptions!$F$175,1)/84</f>
        <v>2571.42857142857</v>
      </c>
      <c r="M94" s="65" t="n">
        <f aca="false">M15*Assumptions!$D$82*IF(Assumptions!M$191=2027,1+Assumptions!$F$175,1)/84</f>
        <v>2517.85714285714</v>
      </c>
      <c r="N94" s="65" t="n">
        <f aca="false">N15*Assumptions!$D$82*IF(Assumptions!N$191=2027,1+Assumptions!$F$175,1)/84</f>
        <v>2465.40178571429</v>
      </c>
      <c r="O94" s="65" t="n">
        <f aca="false">O15*Assumptions!$D$82*IF(Assumptions!O$191=2027,1+Assumptions!$F$175,1)/84</f>
        <v>2467.61067708333</v>
      </c>
      <c r="P94" s="65" t="n">
        <f aca="false">P15*Assumptions!$D$82*IF(Assumptions!P$191=2027,1+Assumptions!$F$175,1)/84</f>
        <v>2468.65747845362</v>
      </c>
      <c r="Q94" s="65" t="n">
        <f aca="false">Q15*Assumptions!$D$82*IF(Assumptions!Q$191=2027,1+Assumptions!$F$175,1)/84</f>
        <v>2554.99028932481</v>
      </c>
      <c r="R94" s="65" t="n">
        <f aca="false">R15*Assumptions!$D$82*IF(Assumptions!R$191=2027,1+Assumptions!$F$175,1)/84</f>
        <v>2554.96918018848</v>
      </c>
      <c r="S94" s="65" t="n">
        <f aca="false">S15*Assumptions!$D$82*IF(Assumptions!S$191=2027,1+Assumptions!$F$175,1)/84</f>
        <v>2887.64965390895</v>
      </c>
      <c r="T94" s="65" t="n">
        <f aca="false">T15*Assumptions!$D$82*IF(Assumptions!T$191=2027,1+Assumptions!$F$175,1)/84</f>
        <v>2880.71925048011</v>
      </c>
      <c r="U94" s="65" t="n">
        <f aca="false">U15*Assumptions!$D$82*IF(Assumptions!U$191=2027,1+Assumptions!$F$175,1)/84</f>
        <v>2873.93279068237</v>
      </c>
      <c r="V94" s="65" t="n">
        <f aca="false">V15*Assumptions!$D$82*IF(Assumptions!V$191=2027,1+Assumptions!$F$175,1)/84</f>
        <v>2874.21855866626</v>
      </c>
      <c r="W94" s="65" t="n">
        <f aca="false">W15*Assumptions!$D$82*IF(Assumptions!W$191=2027,1+Assumptions!$F$175,1)/84</f>
        <v>2874.35398974571</v>
      </c>
      <c r="X94" s="65" t="n">
        <f aca="false">X15*Assumptions!$D$82*IF(Assumptions!X$191=2027,1+Assumptions!$F$175,1)/84</f>
        <v>2874.34521476523</v>
      </c>
      <c r="Y94" s="65" t="n">
        <f aca="false">Y15*Assumptions!$D$82*IF(Assumptions!Y$191=2027,1+Assumptions!$F$175,1)/84</f>
        <v>2874.3425760965</v>
      </c>
      <c r="Z94" s="65" t="n">
        <f aca="false">Z15*Assumptions!$D$82*IF(Assumptions!Z$191=2027,1+Assumptions!$F$175,1)/84</f>
        <v>2874.34281388086</v>
      </c>
      <c r="AA94" s="65" t="n">
        <f aca="false">AA15*Assumptions!$D$82*IF(Assumptions!AA$191=2027,1+Assumptions!$F$175,1)/84</f>
        <v>2874.34286389928</v>
      </c>
      <c r="AB94" s="65" t="n">
        <f aca="false">AB15*Assumptions!$D$82*IF(Assumptions!AB$191=2027,1+Assumptions!$F$175,1)/84</f>
        <v>2874.34285790339</v>
      </c>
    </row>
    <row r="95" customFormat="false" ht="15" hidden="false" customHeight="false" outlineLevel="0" collapsed="false">
      <c r="A95" s="28" t="s">
        <v>1145</v>
      </c>
      <c r="B95" s="63" t="s">
        <v>1138</v>
      </c>
      <c r="C95" s="64" t="n">
        <f aca="false">SUM(E95:P95)</f>
        <v>30164.8849696568</v>
      </c>
      <c r="D95" s="64" t="n">
        <f aca="false">SUM(Q95:AB95)</f>
        <v>36487.7050447743</v>
      </c>
      <c r="E95" s="65" t="n">
        <f aca="false">E16*Assumptions!$D$83*IF(Assumptions!E$191=2027,1+Assumptions!$F$175,1)/84</f>
        <v>2202.38095238095</v>
      </c>
      <c r="F95" s="65" t="n">
        <f aca="false">F16*Assumptions!$D$83*IF(Assumptions!F$191=2027,1+Assumptions!$F$175,1)/84</f>
        <v>2202.38095238095</v>
      </c>
      <c r="G95" s="65" t="n">
        <f aca="false">G16*Assumptions!$D$83*IF(Assumptions!G$191=2027,1+Assumptions!$F$175,1)/84</f>
        <v>2202.38095238095</v>
      </c>
      <c r="H95" s="65" t="n">
        <f aca="false">H16*Assumptions!$D$83*IF(Assumptions!H$191=2027,1+Assumptions!$F$175,1)/84</f>
        <v>2642.85714285714</v>
      </c>
      <c r="I95" s="65" t="n">
        <f aca="false">I16*Assumptions!$D$83*IF(Assumptions!I$191=2027,1+Assumptions!$F$175,1)/84</f>
        <v>2642.85714285714</v>
      </c>
      <c r="J95" s="65" t="n">
        <f aca="false">J16*Assumptions!$D$83*IF(Assumptions!J$191=2027,1+Assumptions!$F$175,1)/84</f>
        <v>2642.85714285714</v>
      </c>
      <c r="K95" s="65" t="n">
        <f aca="false">K16*Assumptions!$D$83*IF(Assumptions!K$191=2027,1+Assumptions!$F$175,1)/84</f>
        <v>2642.85714285714</v>
      </c>
      <c r="L95" s="65" t="n">
        <f aca="false">L16*Assumptions!$D$83*IF(Assumptions!L$191=2027,1+Assumptions!$F$175,1)/84</f>
        <v>2642.85714285714</v>
      </c>
      <c r="M95" s="65" t="n">
        <f aca="false">M16*Assumptions!$D$83*IF(Assumptions!M$191=2027,1+Assumptions!$F$175,1)/84</f>
        <v>2609.82142857143</v>
      </c>
      <c r="N95" s="65" t="n">
        <f aca="false">N16*Assumptions!$D$83*IF(Assumptions!N$191=2027,1+Assumptions!$F$175,1)/84</f>
        <v>2577.19866071429</v>
      </c>
      <c r="O95" s="65" t="n">
        <f aca="false">O16*Assumptions!$D$83*IF(Assumptions!O$191=2027,1+Assumptions!$F$175,1)/84</f>
        <v>2578.01939174107</v>
      </c>
      <c r="P95" s="65" t="n">
        <f aca="false">P16*Assumptions!$D$83*IF(Assumptions!P$191=2027,1+Assumptions!$F$175,1)/84</f>
        <v>2578.41691720145</v>
      </c>
      <c r="Q95" s="65" t="n">
        <f aca="false">Q16*Assumptions!$D$83*IF(Assumptions!Q$191=2027,1+Assumptions!$F$175,1)/84</f>
        <v>2668.6457481102</v>
      </c>
      <c r="R95" s="65" t="n">
        <f aca="false">R16*Assumptions!$D$83*IF(Assumptions!R$191=2027,1+Assumptions!$F$175,1)/84</f>
        <v>2668.64080213947</v>
      </c>
      <c r="S95" s="65" t="n">
        <f aca="false">S16*Assumptions!$D$83*IF(Assumptions!S$191=2027,1+Assumptions!$F$175,1)/84</f>
        <v>3124.53391812188</v>
      </c>
      <c r="T95" s="65" t="n">
        <f aca="false">T16*Assumptions!$D$83*IF(Assumptions!T$191=2027,1+Assumptions!$F$175,1)/84</f>
        <v>3118.83531599673</v>
      </c>
      <c r="U95" s="65" t="n">
        <f aca="false">U16*Assumptions!$D$83*IF(Assumptions!U$191=2027,1+Assumptions!$F$175,1)/84</f>
        <v>3113.20788457352</v>
      </c>
      <c r="V95" s="65" t="n">
        <f aca="false">V16*Assumptions!$D$83*IF(Assumptions!V$191=2027,1+Assumptions!$F$175,1)/84</f>
        <v>3113.34945999287</v>
      </c>
      <c r="W95" s="65" t="n">
        <f aca="false">W16*Assumptions!$D$83*IF(Assumptions!W$191=2027,1+Assumptions!$F$175,1)/84</f>
        <v>3113.41803319292</v>
      </c>
      <c r="X95" s="65" t="n">
        <f aca="false">X16*Assumptions!$D$83*IF(Assumptions!X$191=2027,1+Assumptions!$F$175,1)/84</f>
        <v>3113.41540633518</v>
      </c>
      <c r="Y95" s="65" t="n">
        <f aca="false">Y16*Assumptions!$D$83*IF(Assumptions!Y$191=2027,1+Assumptions!$F$175,1)/84</f>
        <v>3113.4145820059</v>
      </c>
      <c r="Z95" s="65" t="n">
        <f aca="false">Z16*Assumptions!$D$83*IF(Assumptions!Z$191=2027,1+Assumptions!$F$175,1)/84</f>
        <v>3113.41462514574</v>
      </c>
      <c r="AA95" s="65" t="n">
        <f aca="false">AA16*Assumptions!$D$83*IF(Assumptions!AA$191=2027,1+Assumptions!$F$175,1)/84</f>
        <v>3113.41463491061</v>
      </c>
      <c r="AB95" s="65" t="n">
        <f aca="false">AB16*Assumptions!$D$83*IF(Assumptions!AB$191=2027,1+Assumptions!$F$175,1)/84</f>
        <v>3113.4146342493</v>
      </c>
    </row>
    <row r="96" customFormat="false" ht="15" hidden="false" customHeight="false" outlineLevel="0" collapsed="false">
      <c r="A96" s="28" t="s">
        <v>1146</v>
      </c>
      <c r="B96" s="63" t="s">
        <v>1138</v>
      </c>
      <c r="C96" s="64" t="n">
        <f aca="false">SUM(E96:P96)</f>
        <v>34722.5489013672</v>
      </c>
      <c r="D96" s="64" t="n">
        <f aca="false">SUM(Q96:AB96)</f>
        <v>46467.1871686839</v>
      </c>
      <c r="E96" s="65" t="n">
        <f aca="false">E17*Assumptions!$D$84*IF(Assumptions!E$191=2027,1+Assumptions!$F$175,1)/84</f>
        <v>2500</v>
      </c>
      <c r="F96" s="65" t="n">
        <f aca="false">F17*Assumptions!$D$84*IF(Assumptions!F$191=2027,1+Assumptions!$F$175,1)/84</f>
        <v>2500</v>
      </c>
      <c r="G96" s="65" t="n">
        <f aca="false">G17*Assumptions!$D$84*IF(Assumptions!G$191=2027,1+Assumptions!$F$175,1)/84</f>
        <v>2500</v>
      </c>
      <c r="H96" s="65" t="n">
        <f aca="false">H17*Assumptions!$D$84*IF(Assumptions!H$191=2027,1+Assumptions!$F$175,1)/84</f>
        <v>2500</v>
      </c>
      <c r="I96" s="65" t="n">
        <f aca="false">I17*Assumptions!$D$84*IF(Assumptions!I$191=2027,1+Assumptions!$F$175,1)/84</f>
        <v>2500</v>
      </c>
      <c r="J96" s="65" t="n">
        <f aca="false">J17*Assumptions!$D$84*IF(Assumptions!J$191=2027,1+Assumptions!$F$175,1)/84</f>
        <v>3000</v>
      </c>
      <c r="K96" s="65" t="n">
        <f aca="false">K17*Assumptions!$D$84*IF(Assumptions!K$191=2027,1+Assumptions!$F$175,1)/84</f>
        <v>3000</v>
      </c>
      <c r="L96" s="65" t="n">
        <f aca="false">L17*Assumptions!$D$84*IF(Assumptions!L$191=2027,1+Assumptions!$F$175,1)/84</f>
        <v>3000</v>
      </c>
      <c r="M96" s="65" t="n">
        <f aca="false">M17*Assumptions!$D$84*IF(Assumptions!M$191=2027,1+Assumptions!$F$175,1)/84</f>
        <v>2962.5</v>
      </c>
      <c r="N96" s="65" t="n">
        <f aca="false">N17*Assumptions!$D$84*IF(Assumptions!N$191=2027,1+Assumptions!$F$175,1)/84</f>
        <v>3425.46875</v>
      </c>
      <c r="O96" s="65" t="n">
        <f aca="false">O17*Assumptions!$D$84*IF(Assumptions!O$191=2027,1+Assumptions!$F$175,1)/84</f>
        <v>3420.150390625</v>
      </c>
      <c r="P96" s="65" t="n">
        <f aca="false">P17*Assumptions!$D$84*IF(Assumptions!P$191=2027,1+Assumptions!$F$175,1)/84</f>
        <v>3414.42976074219</v>
      </c>
      <c r="Q96" s="65" t="n">
        <f aca="false">Q17*Assumptions!$D$84*IF(Assumptions!Q$191=2027,1+Assumptions!$F$175,1)/84</f>
        <v>3534.07761929169</v>
      </c>
      <c r="R96" s="65" t="n">
        <f aca="false">R17*Assumptions!$D$84*IF(Assumptions!R$191=2027,1+Assumptions!$F$175,1)/84</f>
        <v>3534.14984472925</v>
      </c>
      <c r="S96" s="65" t="n">
        <f aca="false">S17*Assumptions!$D$84*IF(Assumptions!S$191=2027,1+Assumptions!$F$175,1)/84</f>
        <v>3534.14715669974</v>
      </c>
      <c r="T96" s="65" t="n">
        <f aca="false">T17*Assumptions!$D$84*IF(Assumptions!T$191=2027,1+Assumptions!$F$175,1)/84</f>
        <v>3534.14628748214</v>
      </c>
      <c r="U96" s="65" t="n">
        <f aca="false">U17*Assumptions!$D$84*IF(Assumptions!U$191=2027,1+Assumptions!$F$175,1)/84</f>
        <v>4051.64633194773</v>
      </c>
      <c r="V96" s="65" t="n">
        <f aca="false">V17*Assumptions!$D$84*IF(Assumptions!V$191=2027,1+Assumptions!$F$175,1)/84</f>
        <v>4045.17759225713</v>
      </c>
      <c r="W96" s="65" t="n">
        <f aca="false">W17*Assumptions!$D$84*IF(Assumptions!W$191=2027,1+Assumptions!$F$175,1)/84</f>
        <v>4038.78970094744</v>
      </c>
      <c r="X96" s="65" t="n">
        <f aca="false">X17*Assumptions!$D$84*IF(Assumptions!X$191=2027,1+Assumptions!$F$175,1)/84</f>
        <v>4038.95040883494</v>
      </c>
      <c r="Y96" s="65" t="n">
        <f aca="false">Y17*Assumptions!$D$84*IF(Assumptions!Y$191=2027,1+Assumptions!$F$175,1)/84</f>
        <v>4039.02824862772</v>
      </c>
      <c r="Z96" s="65" t="n">
        <f aca="false">Z17*Assumptions!$D$84*IF(Assumptions!Z$191=2027,1+Assumptions!$F$175,1)/84</f>
        <v>4039.02526678172</v>
      </c>
      <c r="AA96" s="65" t="n">
        <f aca="false">AA17*Assumptions!$D$84*IF(Assumptions!AA$191=2027,1+Assumptions!$F$175,1)/84</f>
        <v>4039.02433105738</v>
      </c>
      <c r="AB96" s="65" t="n">
        <f aca="false">AB17*Assumptions!$D$84*IF(Assumptions!AB$191=2027,1+Assumptions!$F$175,1)/84</f>
        <v>4039.02438002701</v>
      </c>
    </row>
    <row r="97" customFormat="false" ht="15" hidden="false" customHeight="false" outlineLevel="0" collapsed="false">
      <c r="A97" s="28" t="s">
        <v>1147</v>
      </c>
      <c r="B97" s="63" t="s">
        <v>1138</v>
      </c>
      <c r="C97" s="64" t="n">
        <f aca="false">SUM(E97:P97)</f>
        <v>12986.8885199509</v>
      </c>
      <c r="D97" s="64" t="n">
        <f aca="false">SUM(Q97:AB97)</f>
        <v>13058.7498104222</v>
      </c>
      <c r="E97" s="65" t="n">
        <f aca="false">E18*Assumptions!$D$85*IF(Assumptions!E$191=2027,1+Assumptions!$F$175,1)/84</f>
        <v>1095.2380952381</v>
      </c>
      <c r="F97" s="65" t="n">
        <f aca="false">F18*Assumptions!$D$85*IF(Assumptions!F$191=2027,1+Assumptions!$F$175,1)/84</f>
        <v>1095.2380952381</v>
      </c>
      <c r="G97" s="65" t="n">
        <f aca="false">G18*Assumptions!$D$85*IF(Assumptions!G$191=2027,1+Assumptions!$F$175,1)/84</f>
        <v>1095.2380952381</v>
      </c>
      <c r="H97" s="65" t="n">
        <f aca="false">H18*Assumptions!$D$85*IF(Assumptions!H$191=2027,1+Assumptions!$F$175,1)/84</f>
        <v>1095.2380952381</v>
      </c>
      <c r="I97" s="65" t="n">
        <f aca="false">I18*Assumptions!$D$85*IF(Assumptions!I$191=2027,1+Assumptions!$F$175,1)/84</f>
        <v>1095.2380952381</v>
      </c>
      <c r="J97" s="65" t="n">
        <f aca="false">J18*Assumptions!$D$85*IF(Assumptions!J$191=2027,1+Assumptions!$F$175,1)/84</f>
        <v>1095.2380952381</v>
      </c>
      <c r="K97" s="65" t="n">
        <f aca="false">K18*Assumptions!$D$85*IF(Assumptions!K$191=2027,1+Assumptions!$F$175,1)/84</f>
        <v>1095.2380952381</v>
      </c>
      <c r="L97" s="65" t="n">
        <f aca="false">L18*Assumptions!$D$85*IF(Assumptions!L$191=2027,1+Assumptions!$F$175,1)/84</f>
        <v>1095.2380952381</v>
      </c>
      <c r="M97" s="65" t="n">
        <f aca="false">M18*Assumptions!$D$85*IF(Assumptions!M$191=2027,1+Assumptions!$F$175,1)/84</f>
        <v>1072.42063492064</v>
      </c>
      <c r="N97" s="65" t="n">
        <f aca="false">N18*Assumptions!$D$85*IF(Assumptions!N$191=2027,1+Assumptions!$F$175,1)/84</f>
        <v>1050.07853835979</v>
      </c>
      <c r="O97" s="65" t="n">
        <f aca="false">O18*Assumptions!$D$85*IF(Assumptions!O$191=2027,1+Assumptions!$F$175,1)/84</f>
        <v>1051.01936246142</v>
      </c>
      <c r="P97" s="65" t="n">
        <f aca="false">P18*Assumptions!$D$85*IF(Assumptions!P$191=2027,1+Assumptions!$F$175,1)/84</f>
        <v>1051.46522230432</v>
      </c>
      <c r="Q97" s="65" t="n">
        <f aca="false">Q18*Assumptions!$D$85*IF(Assumptions!Q$191=2027,1+Assumptions!$F$175,1)/84</f>
        <v>1088.23660471242</v>
      </c>
      <c r="R97" s="65" t="n">
        <f aca="false">R18*Assumptions!$D$85*IF(Assumptions!R$191=2027,1+Assumptions!$F$175,1)/84</f>
        <v>1088.22761378398</v>
      </c>
      <c r="S97" s="65" t="n">
        <f aca="false">S18*Assumptions!$D$85*IF(Assumptions!S$191=2027,1+Assumptions!$F$175,1)/84</f>
        <v>1088.22842401942</v>
      </c>
      <c r="T97" s="65" t="n">
        <f aca="false">T18*Assumptions!$D$85*IF(Assumptions!T$191=2027,1+Assumptions!$F$175,1)/84</f>
        <v>1088.22859445052</v>
      </c>
      <c r="U97" s="65" t="n">
        <f aca="false">U18*Assumptions!$D$85*IF(Assumptions!U$191=2027,1+Assumptions!$F$175,1)/84</f>
        <v>1088.22857401997</v>
      </c>
      <c r="V97" s="65" t="n">
        <f aca="false">V18*Assumptions!$D$85*IF(Assumptions!V$191=2027,1+Assumptions!$F$175,1)/84</f>
        <v>1088.22857089496</v>
      </c>
      <c r="W97" s="65" t="n">
        <f aca="false">W18*Assumptions!$D$85*IF(Assumptions!W$191=2027,1+Assumptions!$F$175,1)/84</f>
        <v>1088.2285713857</v>
      </c>
      <c r="X97" s="65" t="n">
        <f aca="false">X18*Assumptions!$D$85*IF(Assumptions!X$191=2027,1+Assumptions!$F$175,1)/84</f>
        <v>1088.22857144058</v>
      </c>
      <c r="Y97" s="65" t="n">
        <f aca="false">Y18*Assumptions!$D$85*IF(Assumptions!Y$191=2027,1+Assumptions!$F$175,1)/84</f>
        <v>1088.22857142921</v>
      </c>
      <c r="Z97" s="65" t="n">
        <f aca="false">Z18*Assumptions!$D$85*IF(Assumptions!Z$191=2027,1+Assumptions!$F$175,1)/84</f>
        <v>1088.22857142831</v>
      </c>
      <c r="AA97" s="65" t="n">
        <f aca="false">AA18*Assumptions!$D$85*IF(Assumptions!AA$191=2027,1+Assumptions!$F$175,1)/84</f>
        <v>1088.22857142856</v>
      </c>
      <c r="AB97" s="65" t="n">
        <f aca="false">AB18*Assumptions!$D$85*IF(Assumptions!AB$191=2027,1+Assumptions!$F$175,1)/84</f>
        <v>1088.22857142858</v>
      </c>
    </row>
    <row r="98" customFormat="false" ht="15" hidden="false" customHeight="false" outlineLevel="0" collapsed="false">
      <c r="A98" s="28" t="s">
        <v>1148</v>
      </c>
      <c r="B98" s="63" t="s">
        <v>1138</v>
      </c>
      <c r="C98" s="64" t="n">
        <f aca="false">SUM(E98:P98)</f>
        <v>54021.3844258949</v>
      </c>
      <c r="D98" s="64" t="n">
        <f aca="false">SUM(Q98:AB98)</f>
        <v>70324.7471191868</v>
      </c>
      <c r="E98" s="65" t="n">
        <f aca="false">E19*Assumptions!$D$86*IF(Assumptions!E$191=2027,1+Assumptions!$F$175,1)/84</f>
        <v>4285.71428571429</v>
      </c>
      <c r="F98" s="65" t="n">
        <f aca="false">F19*Assumptions!$D$86*IF(Assumptions!F$191=2027,1+Assumptions!$F$175,1)/84</f>
        <v>4285.71428571429</v>
      </c>
      <c r="G98" s="65" t="n">
        <f aca="false">G19*Assumptions!$D$86*IF(Assumptions!G$191=2027,1+Assumptions!$F$175,1)/84</f>
        <v>4285.71428571429</v>
      </c>
      <c r="H98" s="65" t="n">
        <f aca="false">H19*Assumptions!$D$86*IF(Assumptions!H$191=2027,1+Assumptions!$F$175,1)/84</f>
        <v>4821.42857142857</v>
      </c>
      <c r="I98" s="65" t="n">
        <f aca="false">I19*Assumptions!$D$86*IF(Assumptions!I$191=2027,1+Assumptions!$F$175,1)/84</f>
        <v>4821.42857142857</v>
      </c>
      <c r="J98" s="65" t="n">
        <f aca="false">J19*Assumptions!$D$86*IF(Assumptions!J$191=2027,1+Assumptions!$F$175,1)/84</f>
        <v>4821.42857142857</v>
      </c>
      <c r="K98" s="65" t="n">
        <f aca="false">K19*Assumptions!$D$86*IF(Assumptions!K$191=2027,1+Assumptions!$F$175,1)/84</f>
        <v>4821.42857142857</v>
      </c>
      <c r="L98" s="65" t="n">
        <f aca="false">L19*Assumptions!$D$86*IF(Assumptions!L$191=2027,1+Assumptions!$F$175,1)/84</f>
        <v>4285.71428571429</v>
      </c>
      <c r="M98" s="65" t="n">
        <f aca="false">M19*Assumptions!$D$86*IF(Assumptions!M$191=2027,1+Assumptions!$F$175,1)/84</f>
        <v>4196.42857142857</v>
      </c>
      <c r="N98" s="65" t="n">
        <f aca="false">N19*Assumptions!$D$86*IF(Assumptions!N$191=2027,1+Assumptions!$F$175,1)/84</f>
        <v>4109.00297619048</v>
      </c>
      <c r="O98" s="65" t="n">
        <f aca="false">O19*Assumptions!$D$86*IF(Assumptions!O$191=2027,1+Assumptions!$F$175,1)/84</f>
        <v>4648.39874751984</v>
      </c>
      <c r="P98" s="65" t="n">
        <f aca="false">P19*Assumptions!$D$86*IF(Assumptions!P$191=2027,1+Assumptions!$F$175,1)/84</f>
        <v>4638.98270218461</v>
      </c>
      <c r="Q98" s="65" t="n">
        <f aca="false">Q19*Assumptions!$D$86*IF(Assumptions!Q$191=2027,1+Assumptions!$F$175,1)/84</f>
        <v>5898.84798034789</v>
      </c>
      <c r="R98" s="65" t="n">
        <f aca="false">R19*Assumptions!$D$86*IF(Assumptions!R$191=2027,1+Assumptions!$F$175,1)/84</f>
        <v>5876.18641208404</v>
      </c>
      <c r="S98" s="65" t="n">
        <f aca="false">S19*Assumptions!$D$86*IF(Assumptions!S$191=2027,1+Assumptions!$F$175,1)/84</f>
        <v>5853.79392634814</v>
      </c>
      <c r="T98" s="65" t="n">
        <f aca="false">T19*Assumptions!$D$86*IF(Assumptions!T$191=2027,1+Assumptions!$F$175,1)/84</f>
        <v>5854.73255247314</v>
      </c>
      <c r="U98" s="65" t="n">
        <f aca="false">U19*Assumptions!$D$86*IF(Assumptions!U$191=2027,1+Assumptions!$F$175,1)/84</f>
        <v>5855.1795078817</v>
      </c>
      <c r="V98" s="65" t="n">
        <f aca="false">V19*Assumptions!$D$86*IF(Assumptions!V$191=2027,1+Assumptions!$F$175,1)/84</f>
        <v>5855.15064159975</v>
      </c>
      <c r="W98" s="65" t="n">
        <f aca="false">W19*Assumptions!$D$86*IF(Assumptions!W$191=2027,1+Assumptions!$F$175,1)/84</f>
        <v>5855.14193140961</v>
      </c>
      <c r="X98" s="65" t="n">
        <f aca="false">X19*Assumptions!$D$86*IF(Assumptions!X$191=2027,1+Assumptions!$F$175,1)/84</f>
        <v>5855.14271425278</v>
      </c>
      <c r="Y98" s="65" t="n">
        <f aca="false">Y19*Assumptions!$D$86*IF(Assumptions!Y$191=2027,1+Assumptions!$F$175,1)/84</f>
        <v>5855.14287940584</v>
      </c>
      <c r="Z98" s="65" t="n">
        <f aca="false">Z19*Assumptions!$D$86*IF(Assumptions!Z$191=2027,1+Assumptions!$F$175,1)/84</f>
        <v>5855.14285965592</v>
      </c>
      <c r="AA98" s="65" t="n">
        <f aca="false">AA19*Assumptions!$D$86*IF(Assumptions!AA$191=2027,1+Assumptions!$F$175,1)/84</f>
        <v>5855.14285662669</v>
      </c>
      <c r="AB98" s="65" t="n">
        <f aca="false">AB19*Assumptions!$D$86*IF(Assumptions!AB$191=2027,1+Assumptions!$F$175,1)/84</f>
        <v>5855.14285710126</v>
      </c>
    </row>
    <row r="99" customFormat="false" ht="15" hidden="false" customHeight="false" outlineLevel="0" collapsed="false">
      <c r="A99" s="28" t="s">
        <v>1149</v>
      </c>
      <c r="B99" s="63" t="s">
        <v>1138</v>
      </c>
      <c r="C99" s="64" t="n">
        <f aca="false">SUM(E99:P99)</f>
        <v>23048.5210654176</v>
      </c>
      <c r="D99" s="64" t="n">
        <f aca="false">SUM(Q99:AB99)</f>
        <v>26515.8846896691</v>
      </c>
      <c r="E99" s="65" t="n">
        <f aca="false">E20*Assumptions!$D$87*IF(Assumptions!E$191=2027,1+Assumptions!$F$175,1)/84</f>
        <v>1666.66666666667</v>
      </c>
      <c r="F99" s="65" t="n">
        <f aca="false">F20*Assumptions!$D$87*IF(Assumptions!F$191=2027,1+Assumptions!$F$175,1)/84</f>
        <v>1666.66666666667</v>
      </c>
      <c r="G99" s="65" t="n">
        <f aca="false">G20*Assumptions!$D$87*IF(Assumptions!G$191=2027,1+Assumptions!$F$175,1)/84</f>
        <v>2000</v>
      </c>
      <c r="H99" s="65" t="n">
        <f aca="false">H20*Assumptions!$D$87*IF(Assumptions!H$191=2027,1+Assumptions!$F$175,1)/84</f>
        <v>2000</v>
      </c>
      <c r="I99" s="65" t="n">
        <f aca="false">I20*Assumptions!$D$87*IF(Assumptions!I$191=2027,1+Assumptions!$F$175,1)/84</f>
        <v>2000</v>
      </c>
      <c r="J99" s="65" t="n">
        <f aca="false">J20*Assumptions!$D$87*IF(Assumptions!J$191=2027,1+Assumptions!$F$175,1)/84</f>
        <v>2000</v>
      </c>
      <c r="K99" s="65" t="n">
        <f aca="false">K20*Assumptions!$D$87*IF(Assumptions!K$191=2027,1+Assumptions!$F$175,1)/84</f>
        <v>2000</v>
      </c>
      <c r="L99" s="65" t="n">
        <f aca="false">L20*Assumptions!$D$87*IF(Assumptions!L$191=2027,1+Assumptions!$F$175,1)/84</f>
        <v>2000</v>
      </c>
      <c r="M99" s="65" t="n">
        <f aca="false">M20*Assumptions!$D$87*IF(Assumptions!M$191=2027,1+Assumptions!$F$175,1)/84</f>
        <v>1958.33333333333</v>
      </c>
      <c r="N99" s="65" t="n">
        <f aca="false">N20*Assumptions!$D$87*IF(Assumptions!N$191=2027,1+Assumptions!$F$175,1)/84</f>
        <v>1917.53472222222</v>
      </c>
      <c r="O99" s="65" t="n">
        <f aca="false">O20*Assumptions!$D$87*IF(Assumptions!O$191=2027,1+Assumptions!$F$175,1)/84</f>
        <v>1919.25274884259</v>
      </c>
      <c r="P99" s="65" t="n">
        <f aca="false">P20*Assumptions!$D$87*IF(Assumptions!P$191=2027,1+Assumptions!$F$175,1)/84</f>
        <v>1920.06692768615</v>
      </c>
      <c r="Q99" s="65" t="n">
        <f aca="false">Q20*Assumptions!$D$87*IF(Assumptions!Q$191=2027,1+Assumptions!$F$175,1)/84</f>
        <v>1987.21466947485</v>
      </c>
      <c r="R99" s="65" t="n">
        <f aca="false">R20*Assumptions!$D$87*IF(Assumptions!R$191=2027,1+Assumptions!$F$175,1)/84</f>
        <v>1987.19825125771</v>
      </c>
      <c r="S99" s="65" t="n">
        <f aca="false">S20*Assumptions!$D$87*IF(Assumptions!S$191=2027,1+Assumptions!$F$175,1)/84</f>
        <v>1987.19973081807</v>
      </c>
      <c r="T99" s="65" t="n">
        <f aca="false">T20*Assumptions!$D$87*IF(Assumptions!T$191=2027,1+Assumptions!$F$175,1)/84</f>
        <v>1987.20004204009</v>
      </c>
      <c r="U99" s="65" t="n">
        <f aca="false">U20*Assumptions!$D$87*IF(Assumptions!U$191=2027,1+Assumptions!$F$175,1)/84</f>
        <v>2332.20000473212</v>
      </c>
      <c r="V99" s="65" t="n">
        <f aca="false">V20*Assumptions!$D$87*IF(Assumptions!V$191=2027,1+Assumptions!$F$175,1)/84</f>
        <v>2325.01249902558</v>
      </c>
      <c r="W99" s="65" t="n">
        <f aca="false">W20*Assumptions!$D$87*IF(Assumptions!W$191=2027,1+Assumptions!$F$175,1)/84</f>
        <v>2317.97473950505</v>
      </c>
      <c r="X99" s="65" t="n">
        <f aca="false">X20*Assumptions!$D$87*IF(Assumptions!X$191=2027,1+Assumptions!$F$175,1)/84</f>
        <v>2318.27109919728</v>
      </c>
      <c r="Y99" s="65" t="n">
        <f aca="false">Y20*Assumptions!$D$87*IF(Assumptions!Y$191=2027,1+Assumptions!$F$175,1)/84</f>
        <v>2318.41154502703</v>
      </c>
      <c r="Z99" s="65" t="n">
        <f aca="false">Z20*Assumptions!$D$87*IF(Assumptions!Z$191=2027,1+Assumptions!$F$175,1)/84</f>
        <v>2318.40244491199</v>
      </c>
      <c r="AA99" s="65" t="n">
        <f aca="false">AA20*Assumptions!$D$87*IF(Assumptions!AA$191=2027,1+Assumptions!$F$175,1)/84</f>
        <v>2318.39970854294</v>
      </c>
      <c r="AB99" s="65" t="n">
        <f aca="false">AB20*Assumptions!$D$87*IF(Assumptions!AB$191=2027,1+Assumptions!$F$175,1)/84</f>
        <v>2318.39995513636</v>
      </c>
    </row>
    <row r="100" customFormat="false" ht="15" hidden="false" customHeight="false" outlineLevel="0" collapsed="false">
      <c r="A100" s="28" t="s">
        <v>1150</v>
      </c>
      <c r="B100" s="63" t="s">
        <v>1138</v>
      </c>
      <c r="C100" s="64" t="n">
        <f aca="false">SUM(E100:P100)</f>
        <v>45121.7186110724</v>
      </c>
      <c r="D100" s="64" t="n">
        <f aca="false">SUM(Q100:AB100)</f>
        <v>53104.5570580549</v>
      </c>
      <c r="E100" s="65" t="n">
        <f aca="false">E21*Assumptions!$D$88*IF(Assumptions!E$191=2027,1+Assumptions!$F$175,1)/84</f>
        <v>3285.71428571429</v>
      </c>
      <c r="F100" s="65" t="n">
        <f aca="false">F21*Assumptions!$D$88*IF(Assumptions!F$191=2027,1+Assumptions!$F$175,1)/84</f>
        <v>3833.33333333333</v>
      </c>
      <c r="G100" s="65" t="n">
        <f aca="false">G21*Assumptions!$D$88*IF(Assumptions!G$191=2027,1+Assumptions!$F$175,1)/84</f>
        <v>3833.33333333333</v>
      </c>
      <c r="H100" s="65" t="n">
        <f aca="false">H21*Assumptions!$D$88*IF(Assumptions!H$191=2027,1+Assumptions!$F$175,1)/84</f>
        <v>3833.33333333333</v>
      </c>
      <c r="I100" s="65" t="n">
        <f aca="false">I21*Assumptions!$D$88*IF(Assumptions!I$191=2027,1+Assumptions!$F$175,1)/84</f>
        <v>3833.33333333333</v>
      </c>
      <c r="J100" s="65" t="n">
        <f aca="false">J21*Assumptions!$D$88*IF(Assumptions!J$191=2027,1+Assumptions!$F$175,1)/84</f>
        <v>3833.33333333333</v>
      </c>
      <c r="K100" s="65" t="n">
        <f aca="false">K21*Assumptions!$D$88*IF(Assumptions!K$191=2027,1+Assumptions!$F$175,1)/84</f>
        <v>3833.33333333333</v>
      </c>
      <c r="L100" s="65" t="n">
        <f aca="false">L21*Assumptions!$D$88*IF(Assumptions!L$191=2027,1+Assumptions!$F$175,1)/84</f>
        <v>3833.33333333333</v>
      </c>
      <c r="M100" s="65" t="n">
        <f aca="false">M21*Assumptions!$D$88*IF(Assumptions!M$191=2027,1+Assumptions!$F$175,1)/84</f>
        <v>3785.41666666667</v>
      </c>
      <c r="N100" s="65" t="n">
        <f aca="false">N21*Assumptions!$D$88*IF(Assumptions!N$191=2027,1+Assumptions!$F$175,1)/84</f>
        <v>3738.09895833333</v>
      </c>
      <c r="O100" s="65" t="n">
        <f aca="false">O21*Assumptions!$D$88*IF(Assumptions!O$191=2027,1+Assumptions!$F$175,1)/84</f>
        <v>3739.28938802083</v>
      </c>
      <c r="P100" s="65" t="n">
        <f aca="false">P21*Assumptions!$D$88*IF(Assumptions!P$191=2027,1+Assumptions!$F$175,1)/84</f>
        <v>3739.86597900391</v>
      </c>
      <c r="Q100" s="65" t="n">
        <f aca="false">Q21*Assumptions!$D$88*IF(Assumptions!Q$191=2027,1+Assumptions!$F$175,1)/84</f>
        <v>4437.52414172483</v>
      </c>
      <c r="R100" s="65" t="n">
        <f aca="false">R21*Assumptions!$D$88*IF(Assumptions!R$191=2027,1+Assumptions!$F$175,1)/84</f>
        <v>4430.43214641079</v>
      </c>
      <c r="S100" s="65" t="n">
        <f aca="false">S21*Assumptions!$D$88*IF(Assumptions!S$191=2027,1+Assumptions!$F$175,1)/84</f>
        <v>4423.43626068402</v>
      </c>
      <c r="T100" s="65" t="n">
        <f aca="false">T21*Assumptions!$D$88*IF(Assumptions!T$191=2027,1+Assumptions!$F$175,1)/84</f>
        <v>4423.61235919703</v>
      </c>
      <c r="U100" s="65" t="n">
        <f aca="false">U21*Assumptions!$D$88*IF(Assumptions!U$191=2027,1+Assumptions!$F$175,1)/84</f>
        <v>4423.6976065372</v>
      </c>
      <c r="V100" s="65" t="n">
        <f aca="false">V21*Assumptions!$D$88*IF(Assumptions!V$191=2027,1+Assumptions!$F$175,1)/84</f>
        <v>4423.69433971404</v>
      </c>
      <c r="W100" s="65" t="n">
        <f aca="false">W21*Assumptions!$D$88*IF(Assumptions!W$191=2027,1+Assumptions!$F$175,1)/84</f>
        <v>4423.69331495757</v>
      </c>
      <c r="X100" s="65" t="n">
        <f aca="false">X21*Assumptions!$D$88*IF(Assumptions!X$191=2027,1+Assumptions!$F$175,1)/84</f>
        <v>4423.69336860232</v>
      </c>
      <c r="Y100" s="65" t="n">
        <f aca="false">Y21*Assumptions!$D$88*IF(Assumptions!Y$191=2027,1+Assumptions!$F$175,1)/84</f>
        <v>4423.69338074122</v>
      </c>
      <c r="Z100" s="65" t="n">
        <f aca="false">Z21*Assumptions!$D$88*IF(Assumptions!Z$191=2027,1+Assumptions!$F$175,1)/84</f>
        <v>4423.69337991892</v>
      </c>
      <c r="AA100" s="65" t="n">
        <f aca="false">AA21*Assumptions!$D$88*IF(Assumptions!AA$191=2027,1+Assumptions!$F$175,1)/84</f>
        <v>4423.69337977746</v>
      </c>
      <c r="AB100" s="65" t="n">
        <f aca="false">AB21*Assumptions!$D$88*IF(Assumptions!AB$191=2027,1+Assumptions!$F$175,1)/84</f>
        <v>4423.69337978951</v>
      </c>
    </row>
    <row r="101" customFormat="false" ht="15" hidden="false" customHeight="false" outlineLevel="0" collapsed="false">
      <c r="A101" s="28" t="s">
        <v>1151</v>
      </c>
      <c r="B101" s="63" t="s">
        <v>1138</v>
      </c>
      <c r="C101" s="64" t="n">
        <f aca="false">SUM(E101:P101)</f>
        <v>29884.2185234568</v>
      </c>
      <c r="D101" s="64" t="n">
        <f aca="false">SUM(Q101:AB101)</f>
        <v>30641.4480508676</v>
      </c>
      <c r="E101" s="65" t="n">
        <f aca="false">E22*Assumptions!$D$89*IF(Assumptions!E$191=2027,1+Assumptions!$F$175,1)/84</f>
        <v>2500</v>
      </c>
      <c r="F101" s="65" t="n">
        <f aca="false">F22*Assumptions!$D$89*IF(Assumptions!F$191=2027,1+Assumptions!$F$175,1)/84</f>
        <v>2500</v>
      </c>
      <c r="G101" s="65" t="n">
        <f aca="false">G22*Assumptions!$D$89*IF(Assumptions!G$191=2027,1+Assumptions!$F$175,1)/84</f>
        <v>2500</v>
      </c>
      <c r="H101" s="65" t="n">
        <f aca="false">H22*Assumptions!$D$89*IF(Assumptions!H$191=2027,1+Assumptions!$F$175,1)/84</f>
        <v>2500</v>
      </c>
      <c r="I101" s="65" t="n">
        <f aca="false">I22*Assumptions!$D$89*IF(Assumptions!I$191=2027,1+Assumptions!$F$175,1)/84</f>
        <v>2500</v>
      </c>
      <c r="J101" s="65" t="n">
        <f aca="false">J22*Assumptions!$D$89*IF(Assumptions!J$191=2027,1+Assumptions!$F$175,1)/84</f>
        <v>2500</v>
      </c>
      <c r="K101" s="65" t="n">
        <f aca="false">K22*Assumptions!$D$89*IF(Assumptions!K$191=2027,1+Assumptions!$F$175,1)/84</f>
        <v>2500</v>
      </c>
      <c r="L101" s="65" t="n">
        <f aca="false">L22*Assumptions!$D$89*IF(Assumptions!L$191=2027,1+Assumptions!$F$175,1)/84</f>
        <v>2500</v>
      </c>
      <c r="M101" s="65" t="n">
        <f aca="false">M22*Assumptions!$D$89*IF(Assumptions!M$191=2027,1+Assumptions!$F$175,1)/84</f>
        <v>2483.33333333333</v>
      </c>
      <c r="N101" s="65" t="n">
        <f aca="false">N22*Assumptions!$D$89*IF(Assumptions!N$191=2027,1+Assumptions!$F$175,1)/84</f>
        <v>2466.77777777778</v>
      </c>
      <c r="O101" s="65" t="n">
        <f aca="false">O22*Assumptions!$D$89*IF(Assumptions!O$191=2027,1+Assumptions!$F$175,1)/84</f>
        <v>2466.99925925926</v>
      </c>
      <c r="P101" s="65" t="n">
        <f aca="false">P22*Assumptions!$D$89*IF(Assumptions!P$191=2027,1+Assumptions!$F$175,1)/84</f>
        <v>2467.10815308642</v>
      </c>
      <c r="Q101" s="65" t="n">
        <f aca="false">Q22*Assumptions!$D$89*IF(Assumptions!Q$191=2027,1+Assumptions!$F$175,1)/84</f>
        <v>2553.45465885481</v>
      </c>
      <c r="R101" s="65" t="n">
        <f aca="false">R22*Assumptions!$D$89*IF(Assumptions!R$191=2027,1+Assumptions!$F$175,1)/84</f>
        <v>2553.45392268467</v>
      </c>
      <c r="S101" s="65" t="n">
        <f aca="false">S22*Assumptions!$D$89*IF(Assumptions!S$191=2027,1+Assumptions!$F$175,1)/84</f>
        <v>2553.45394278974</v>
      </c>
      <c r="T101" s="65" t="n">
        <f aca="false">T22*Assumptions!$D$89*IF(Assumptions!T$191=2027,1+Assumptions!$F$175,1)/84</f>
        <v>2553.4539475635</v>
      </c>
      <c r="U101" s="65" t="n">
        <f aca="false">U22*Assumptions!$D$89*IF(Assumptions!U$191=2027,1+Assumptions!$F$175,1)/84</f>
        <v>2553.45394739765</v>
      </c>
      <c r="V101" s="65" t="n">
        <f aca="false">V22*Assumptions!$D$89*IF(Assumptions!V$191=2027,1+Assumptions!$F$175,1)/84</f>
        <v>2553.45394736693</v>
      </c>
      <c r="W101" s="65" t="n">
        <f aca="false">W22*Assumptions!$D$89*IF(Assumptions!W$191=2027,1+Assumptions!$F$175,1)/84</f>
        <v>2553.45394736824</v>
      </c>
      <c r="X101" s="65" t="n">
        <f aca="false">X22*Assumptions!$D$89*IF(Assumptions!X$191=2027,1+Assumptions!$F$175,1)/84</f>
        <v>2553.45394736843</v>
      </c>
      <c r="Y101" s="65" t="n">
        <f aca="false">Y22*Assumptions!$D$89*IF(Assumptions!Y$191=2027,1+Assumptions!$F$175,1)/84</f>
        <v>2553.45394736842</v>
      </c>
      <c r="Z101" s="65" t="n">
        <f aca="false">Z22*Assumptions!$D$89*IF(Assumptions!Z$191=2027,1+Assumptions!$F$175,1)/84</f>
        <v>2553.45394736842</v>
      </c>
      <c r="AA101" s="65" t="n">
        <f aca="false">AA22*Assumptions!$D$89*IF(Assumptions!AA$191=2027,1+Assumptions!$F$175,1)/84</f>
        <v>2553.45394736842</v>
      </c>
      <c r="AB101" s="65" t="n">
        <f aca="false">AB22*Assumptions!$D$89*IF(Assumptions!AB$191=2027,1+Assumptions!$F$175,1)/84</f>
        <v>2553.45394736842</v>
      </c>
    </row>
    <row r="102" customFormat="false" ht="15" hidden="false" customHeight="false" outlineLevel="0" collapsed="false">
      <c r="A102" s="28" t="s">
        <v>1152</v>
      </c>
      <c r="B102" s="63" t="s">
        <v>1138</v>
      </c>
      <c r="C102" s="64" t="n">
        <f aca="false">SUM(E102:P102)</f>
        <v>26326.5734611405</v>
      </c>
      <c r="D102" s="64" t="n">
        <f aca="false">SUM(Q102:AB102)</f>
        <v>26993.6566162405</v>
      </c>
      <c r="E102" s="65" t="n">
        <f aca="false">E23*Assumptions!$D$90*IF(Assumptions!E$191=2027,1+Assumptions!$F$175,1)/84</f>
        <v>2202.38095238095</v>
      </c>
      <c r="F102" s="65" t="n">
        <f aca="false">F23*Assumptions!$D$90*IF(Assumptions!F$191=2027,1+Assumptions!$F$175,1)/84</f>
        <v>2202.38095238095</v>
      </c>
      <c r="G102" s="65" t="n">
        <f aca="false">G23*Assumptions!$D$90*IF(Assumptions!G$191=2027,1+Assumptions!$F$175,1)/84</f>
        <v>2202.38095238095</v>
      </c>
      <c r="H102" s="65" t="n">
        <f aca="false">H23*Assumptions!$D$90*IF(Assumptions!H$191=2027,1+Assumptions!$F$175,1)/84</f>
        <v>2202.38095238095</v>
      </c>
      <c r="I102" s="65" t="n">
        <f aca="false">I23*Assumptions!$D$90*IF(Assumptions!I$191=2027,1+Assumptions!$F$175,1)/84</f>
        <v>2202.38095238095</v>
      </c>
      <c r="J102" s="65" t="n">
        <f aca="false">J23*Assumptions!$D$90*IF(Assumptions!J$191=2027,1+Assumptions!$F$175,1)/84</f>
        <v>2202.38095238095</v>
      </c>
      <c r="K102" s="65" t="n">
        <f aca="false">K23*Assumptions!$D$90*IF(Assumptions!K$191=2027,1+Assumptions!$F$175,1)/84</f>
        <v>2202.38095238095</v>
      </c>
      <c r="L102" s="65" t="n">
        <f aca="false">L23*Assumptions!$D$90*IF(Assumptions!L$191=2027,1+Assumptions!$F$175,1)/84</f>
        <v>2202.38095238095</v>
      </c>
      <c r="M102" s="65" t="n">
        <f aca="false">M23*Assumptions!$D$90*IF(Assumptions!M$191=2027,1+Assumptions!$F$175,1)/84</f>
        <v>2187.69841269841</v>
      </c>
      <c r="N102" s="65" t="n">
        <f aca="false">N23*Assumptions!$D$90*IF(Assumptions!N$191=2027,1+Assumptions!$F$175,1)/84</f>
        <v>2173.11375661376</v>
      </c>
      <c r="O102" s="65" t="n">
        <f aca="false">O23*Assumptions!$D$90*IF(Assumptions!O$191=2027,1+Assumptions!$F$175,1)/84</f>
        <v>2173.3088712522</v>
      </c>
      <c r="P102" s="65" t="n">
        <f aca="false">P23*Assumptions!$D$90*IF(Assumptions!P$191=2027,1+Assumptions!$F$175,1)/84</f>
        <v>2173.40480152851</v>
      </c>
      <c r="Q102" s="65" t="n">
        <f aca="false">Q23*Assumptions!$D$90*IF(Assumptions!Q$191=2027,1+Assumptions!$F$175,1)/84</f>
        <v>2249.4719613721</v>
      </c>
      <c r="R102" s="65" t="n">
        <f aca="false">R23*Assumptions!$D$90*IF(Assumptions!R$191=2027,1+Assumptions!$F$175,1)/84</f>
        <v>2249.47131284126</v>
      </c>
      <c r="S102" s="65" t="n">
        <f aca="false">S23*Assumptions!$D$90*IF(Assumptions!S$191=2027,1+Assumptions!$F$175,1)/84</f>
        <v>2249.47133055286</v>
      </c>
      <c r="T102" s="65" t="n">
        <f aca="false">T23*Assumptions!$D$90*IF(Assumptions!T$191=2027,1+Assumptions!$F$175,1)/84</f>
        <v>2249.47133475832</v>
      </c>
      <c r="U102" s="65" t="n">
        <f aca="false">U23*Assumptions!$D$90*IF(Assumptions!U$191=2027,1+Assumptions!$F$175,1)/84</f>
        <v>2249.47133461221</v>
      </c>
      <c r="V102" s="65" t="n">
        <f aca="false">V23*Assumptions!$D$90*IF(Assumptions!V$191=2027,1+Assumptions!$F$175,1)/84</f>
        <v>2249.47133458515</v>
      </c>
      <c r="W102" s="65" t="n">
        <f aca="false">W23*Assumptions!$D$90*IF(Assumptions!W$191=2027,1+Assumptions!$F$175,1)/84</f>
        <v>2249.4713345863</v>
      </c>
      <c r="X102" s="65" t="n">
        <f aca="false">X23*Assumptions!$D$90*IF(Assumptions!X$191=2027,1+Assumptions!$F$175,1)/84</f>
        <v>2249.47133458648</v>
      </c>
      <c r="Y102" s="65" t="n">
        <f aca="false">Y23*Assumptions!$D$90*IF(Assumptions!Y$191=2027,1+Assumptions!$F$175,1)/84</f>
        <v>2249.47133458647</v>
      </c>
      <c r="Z102" s="65" t="n">
        <f aca="false">Z23*Assumptions!$D$90*IF(Assumptions!Z$191=2027,1+Assumptions!$F$175,1)/84</f>
        <v>2249.47133458647</v>
      </c>
      <c r="AA102" s="65" t="n">
        <f aca="false">AA23*Assumptions!$D$90*IF(Assumptions!AA$191=2027,1+Assumptions!$F$175,1)/84</f>
        <v>2249.47133458647</v>
      </c>
      <c r="AB102" s="65" t="n">
        <f aca="false">AB23*Assumptions!$D$90*IF(Assumptions!AB$191=2027,1+Assumptions!$F$175,1)/84</f>
        <v>2249.47133458647</v>
      </c>
    </row>
    <row r="103" customFormat="false" ht="15" hidden="false" customHeight="false" outlineLevel="0" collapsed="false">
      <c r="A103" s="28" t="s">
        <v>1153</v>
      </c>
      <c r="B103" s="63"/>
      <c r="C103" s="64" t="n">
        <f aca="false">SUM(E103:P103)</f>
        <v>80532.8663175</v>
      </c>
      <c r="D103" s="64" t="n">
        <f aca="false">SUM(Q103:AB103)</f>
        <v>82191.1823233252</v>
      </c>
      <c r="E103" s="65" t="n">
        <f aca="false">Assumptions!$E$76*(E9*Assumptions!$D$76*IF(Assumptions!E$191=2027,1+Assumptions!$F$175,1)/14+IF(Assumptions!E$211=1,SUM(E88:E88),0))</f>
        <v>5785.71428571429</v>
      </c>
      <c r="F103" s="65" t="n">
        <f aca="false">Assumptions!$E$76*(F9*Assumptions!$D$76*IF(Assumptions!F$191=2027,1+Assumptions!$F$175,1)/14+IF(Assumptions!F$211=1,SUM(E88:F88),0))</f>
        <v>5785.71428571429</v>
      </c>
      <c r="G103" s="65" t="n">
        <f aca="false">Assumptions!$E$76*(G9*Assumptions!$D$76*IF(Assumptions!G$191=2027,1+Assumptions!$F$175,1)/14+IF(Assumptions!G$211=1,SUM(E88:G88),0))</f>
        <v>5785.71428571429</v>
      </c>
      <c r="H103" s="65" t="n">
        <f aca="false">Assumptions!$E$76*(H9*Assumptions!$D$76*IF(Assumptions!H$191=2027,1+Assumptions!$F$175,1)/14+IF(Assumptions!H$211=1,SUM(E88:H88),0))</f>
        <v>5785.71428571429</v>
      </c>
      <c r="I103" s="65" t="n">
        <f aca="false">Assumptions!$E$76*(I9*Assumptions!$D$76*IF(Assumptions!I$191=2027,1+Assumptions!$F$175,1)/14+IF(Assumptions!I$211=1,SUM(E88:I88),0))</f>
        <v>5785.71428571429</v>
      </c>
      <c r="J103" s="65" t="n">
        <f aca="false">Assumptions!$E$76*(J9*Assumptions!$D$76*IF(Assumptions!J$191=2027,1+Assumptions!$F$175,1)/14+IF(Assumptions!J$211=1,SUM(E88:J88),0))</f>
        <v>11571.4285714286</v>
      </c>
      <c r="K103" s="65" t="n">
        <f aca="false">Assumptions!$E$76*(K9*Assumptions!$D$76*IF(Assumptions!K$191=2027,1+Assumptions!$F$175,1)/14+IF(Assumptions!K$211=1,SUM(F88:K88),0))</f>
        <v>5785.71428571429</v>
      </c>
      <c r="L103" s="65" t="n">
        <f aca="false">Assumptions!$E$76*(L9*Assumptions!$D$76*IF(Assumptions!L$191=2027,1+Assumptions!$F$175,1)/14+IF(Assumptions!L$211=1,SUM(G88:L88),0))</f>
        <v>5785.71428571429</v>
      </c>
      <c r="M103" s="65" t="n">
        <f aca="false">Assumptions!$E$76*(M9*Assumptions!$D$76*IF(Assumptions!M$191=2027,1+Assumptions!$F$175,1)/14+IF(Assumptions!M$211=1,SUM(H88:M88),0))</f>
        <v>5727.85714285714</v>
      </c>
      <c r="N103" s="65" t="n">
        <f aca="false">Assumptions!$E$76*(N9*Assumptions!$D$76*IF(Assumptions!N$191=2027,1+Assumptions!$F$175,1)/14+IF(Assumptions!N$211=1,SUM(I88:N88),0))</f>
        <v>5670.57857142857</v>
      </c>
      <c r="O103" s="65" t="n">
        <f aca="false">Assumptions!$E$76*(O9*Assumptions!$D$76*IF(Assumptions!O$191=2027,1+Assumptions!$F$175,1)/14+IF(Assumptions!O$211=1,SUM(J88:O88),0))</f>
        <v>5671.72992857143</v>
      </c>
      <c r="P103" s="65" t="n">
        <f aca="false">Assumptions!$E$76*(P9*Assumptions!$D$76*IF(Assumptions!P$191=2027,1+Assumptions!$F$175,1)/14+IF(Assumptions!P$211=1,SUM(K88:P88),0))</f>
        <v>11391.2721032143</v>
      </c>
      <c r="Q103" s="65" t="n">
        <f aca="false">Assumptions!$E$76*(Q9*Assumptions!$D$76*IF(Assumptions!Q$191=2027,1+Assumptions!$F$175,1)/14+IF(Assumptions!Q$211=1,SUM(L88:Q88),0))</f>
        <v>5870.80366702618</v>
      </c>
      <c r="R103" s="65" t="n">
        <f aca="false">Assumptions!$E$76*(R9*Assumptions!$D$76*IF(Assumptions!R$191=2027,1+Assumptions!$F$175,1)/14+IF(Assumptions!R$211=1,SUM(M88:R88),0))</f>
        <v>5870.79803511663</v>
      </c>
      <c r="S103" s="65" t="n">
        <f aca="false">Assumptions!$E$76*(S9*Assumptions!$D$76*IF(Assumptions!S$191=2027,1+Assumptions!$F$175,1)/14+IF(Assumptions!S$211=1,SUM(N88:S88),0))</f>
        <v>5870.79826869286</v>
      </c>
      <c r="T103" s="65" t="n">
        <f aca="false">Assumptions!$E$76*(T9*Assumptions!$D$76*IF(Assumptions!T$191=2027,1+Assumptions!$F$175,1)/14+IF(Assumptions!T$211=1,SUM(O88:T88),0))</f>
        <v>5870.79832267619</v>
      </c>
      <c r="U103" s="65" t="n">
        <f aca="false">Assumptions!$E$76*(U9*Assumptions!$D$76*IF(Assumptions!U$191=2027,1+Assumptions!$F$175,1)/14+IF(Assumptions!U$211=1,SUM(P88:U88),0))</f>
        <v>5870.79831980059</v>
      </c>
      <c r="V103" s="65" t="n">
        <f aca="false">Assumptions!$E$76*(V9*Assumptions!$D$76*IF(Assumptions!V$191=2027,1+Assumptions!$F$175,1)/14+IF(Assumptions!V$211=1,SUM(Q88:V88),0))</f>
        <v>11741.5974747232</v>
      </c>
      <c r="W103" s="65" t="n">
        <f aca="false">Assumptions!$E$76*(W9*Assumptions!$D$76*IF(Assumptions!W$191=2027,1+Assumptions!$F$175,1)/14+IF(Assumptions!W$211=1,SUM(R88:W88),0))</f>
        <v>5870.79831932338</v>
      </c>
      <c r="X103" s="65" t="n">
        <f aca="false">Assumptions!$E$76*(X9*Assumptions!$D$76*IF(Assumptions!X$191=2027,1+Assumptions!$F$175,1)/14+IF(Assumptions!X$211=1,SUM(S88:X88),0))</f>
        <v>5870.79831932816</v>
      </c>
      <c r="Y103" s="65" t="n">
        <f aca="false">Assumptions!$E$76*(Y9*Assumptions!$D$76*IF(Assumptions!Y$191=2027,1+Assumptions!$F$175,1)/14+IF(Assumptions!Y$211=1,SUM(T88:Y88),0))</f>
        <v>5870.79831932777</v>
      </c>
      <c r="Z103" s="65" t="n">
        <f aca="false">Assumptions!$E$76*(Z9*Assumptions!$D$76*IF(Assumptions!Z$191=2027,1+Assumptions!$F$175,1)/14+IF(Assumptions!Z$211=1,SUM(U88:Z88),0))</f>
        <v>5870.79831932773</v>
      </c>
      <c r="AA103" s="65" t="n">
        <f aca="false">Assumptions!$E$76*(AA9*Assumptions!$D$76*IF(Assumptions!AA$191=2027,1+Assumptions!$F$175,1)/14+IF(Assumptions!AA$211=1,SUM(V88:AA88),0))</f>
        <v>5870.79831932773</v>
      </c>
      <c r="AB103" s="65" t="n">
        <f aca="false">Assumptions!$E$76*(AB9*Assumptions!$D$76*IF(Assumptions!AB$191=2027,1+Assumptions!$F$175,1)/14+IF(Assumptions!AB$211=1,SUM(W88:AB88),0))</f>
        <v>11741.5966386548</v>
      </c>
    </row>
    <row r="104" customFormat="false" ht="15" hidden="false" customHeight="false" outlineLevel="0" collapsed="false">
      <c r="A104" s="28" t="s">
        <v>1154</v>
      </c>
      <c r="B104" s="63"/>
      <c r="C104" s="64" t="n">
        <f aca="false">SUM(E104:P104)</f>
        <v>124737.453606333</v>
      </c>
      <c r="D104" s="64" t="n">
        <f aca="false">SUM(Q104:AB104)</f>
        <v>155435.242783881</v>
      </c>
      <c r="E104" s="65" t="n">
        <f aca="false">Assumptions!$E$77*(E10*Assumptions!$D$77*IF(Assumptions!E$191=2027,1+Assumptions!$F$175,1)/14+IF(Assumptions!E$211=1,SUM(E89:E89),0))</f>
        <v>8202.85714285714</v>
      </c>
      <c r="F104" s="65" t="n">
        <f aca="false">Assumptions!$E$77*(F10*Assumptions!$D$77*IF(Assumptions!F$191=2027,1+Assumptions!$F$175,1)/14+IF(Assumptions!F$211=1,SUM(E89:F89),0))</f>
        <v>8202.85714285714</v>
      </c>
      <c r="G104" s="65" t="n">
        <f aca="false">Assumptions!$E$77*(G10*Assumptions!$D$77*IF(Assumptions!G$191=2027,1+Assumptions!$F$175,1)/14+IF(Assumptions!G$211=1,SUM(E89:G89),0))</f>
        <v>9114.28571428571</v>
      </c>
      <c r="H104" s="65" t="n">
        <f aca="false">Assumptions!$E$77*(H10*Assumptions!$D$77*IF(Assumptions!H$191=2027,1+Assumptions!$F$175,1)/14+IF(Assumptions!H$211=1,SUM(E89:H89),0))</f>
        <v>9114.28571428571</v>
      </c>
      <c r="I104" s="65" t="n">
        <f aca="false">Assumptions!$E$77*(I10*Assumptions!$D$77*IF(Assumptions!I$191=2027,1+Assumptions!$F$175,1)/14+IF(Assumptions!I$211=1,SUM(E89:I89),0))</f>
        <v>9114.28571428571</v>
      </c>
      <c r="J104" s="65" t="n">
        <f aca="false">Assumptions!$E$77*(J10*Assumptions!$D$77*IF(Assumptions!J$191=2027,1+Assumptions!$F$175,1)/14+IF(Assumptions!J$211=1,SUM(E89:J89),0))</f>
        <v>17924.7619047619</v>
      </c>
      <c r="K104" s="65" t="n">
        <f aca="false">Assumptions!$E$77*(K10*Assumptions!$D$77*IF(Assumptions!K$191=2027,1+Assumptions!$F$175,1)/14+IF(Assumptions!K$211=1,SUM(F89:K89),0))</f>
        <v>9114.28571428571</v>
      </c>
      <c r="L104" s="65" t="n">
        <f aca="false">Assumptions!$E$77*(L10*Assumptions!$D$77*IF(Assumptions!L$191=2027,1+Assumptions!$F$175,1)/14+IF(Assumptions!L$211=1,SUM(G89:L89),0))</f>
        <v>9114.28571428571</v>
      </c>
      <c r="M104" s="65" t="n">
        <f aca="false">Assumptions!$E$77*(M10*Assumptions!$D$77*IF(Assumptions!M$191=2027,1+Assumptions!$F$175,1)/14+IF(Assumptions!M$211=1,SUM(H89:M89),0))</f>
        <v>9023.14285714286</v>
      </c>
      <c r="N104" s="65" t="n">
        <f aca="false">Assumptions!$E$77*(N10*Assumptions!$D$77*IF(Assumptions!N$191=2027,1+Assumptions!$F$175,1)/14+IF(Assumptions!N$211=1,SUM(I89:N89),0))</f>
        <v>8932.91142857143</v>
      </c>
      <c r="O104" s="65" t="n">
        <f aca="false">Assumptions!$E$77*(O10*Assumptions!$D$77*IF(Assumptions!O$191=2027,1+Assumptions!$F$175,1)/14+IF(Assumptions!O$211=1,SUM(J89:O89),0))</f>
        <v>8934.72517142857</v>
      </c>
      <c r="P104" s="65" t="n">
        <f aca="false">Assumptions!$E$77*(P10*Assumptions!$D$77*IF(Assumptions!P$191=2027,1+Assumptions!$F$175,1)/14+IF(Assumptions!P$211=1,SUM(K89:P89),0))</f>
        <v>17944.7693872857</v>
      </c>
      <c r="Q104" s="65" t="n">
        <f aca="false">Assumptions!$E$77*(Q10*Assumptions!$D$77*IF(Assumptions!Q$191=2027,1+Assumptions!$F$175,1)/14+IF(Assumptions!Q$211=1,SUM(L89:Q89),0))</f>
        <v>11134.9848948638</v>
      </c>
      <c r="R104" s="65" t="n">
        <f aca="false">Assumptions!$E$77*(R10*Assumptions!$D$77*IF(Assumptions!R$191=2027,1+Assumptions!$F$175,1)/14+IF(Assumptions!R$211=1,SUM(M89:R89),0))</f>
        <v>11116.1094514395</v>
      </c>
      <c r="S104" s="65" t="n">
        <f aca="false">Assumptions!$E$77*(S10*Assumptions!$D$77*IF(Assumptions!S$191=2027,1+Assumptions!$F$175,1)/14+IF(Assumptions!S$211=1,SUM(N89:S89),0))</f>
        <v>11097.4319136798</v>
      </c>
      <c r="T104" s="65" t="n">
        <f aca="false">Assumptions!$E$77*(T10*Assumptions!$D$77*IF(Assumptions!T$191=2027,1+Assumptions!$F$175,1)/14+IF(Assumptions!T$211=1,SUM(O89:T89),0))</f>
        <v>11097.8074434917</v>
      </c>
      <c r="U104" s="65" t="n">
        <f aca="false">Assumptions!$E$77*(U10*Assumptions!$D$77*IF(Assumptions!U$191=2027,1+Assumptions!$F$175,1)/14+IF(Assumptions!U$211=1,SUM(P89:U89),0))</f>
        <v>11097.9904635711</v>
      </c>
      <c r="V104" s="65" t="n">
        <f aca="false">Assumptions!$E$77*(V10*Assumptions!$D$77*IF(Assumptions!V$191=2027,1+Assumptions!$F$175,1)/14+IF(Assumptions!V$211=1,SUM(Q89:V89),0))</f>
        <v>22205.0363855919</v>
      </c>
      <c r="W104" s="65" t="n">
        <f aca="false">Assumptions!$E$77*(W10*Assumptions!$D$77*IF(Assumptions!W$191=2027,1+Assumptions!$F$175,1)/14+IF(Assumptions!W$211=1,SUM(R89:W89),0))</f>
        <v>11097.9831037264</v>
      </c>
      <c r="X104" s="65" t="n">
        <f aca="false">Assumptions!$E$77*(X10*Assumptions!$D$77*IF(Assumptions!X$191=2027,1+Assumptions!$F$175,1)/14+IF(Assumptions!X$211=1,SUM(S89:X89),0))</f>
        <v>11097.9831773249</v>
      </c>
      <c r="Y104" s="65" t="n">
        <f aca="false">Assumptions!$E$77*(Y10*Assumptions!$D$77*IF(Assumptions!Y$191=2027,1+Assumptions!$F$175,1)/14+IF(Assumptions!Y$211=1,SUM(T89:Y89),0))</f>
        <v>11097.9831943323</v>
      </c>
      <c r="Z104" s="65" t="n">
        <f aca="false">Assumptions!$E$77*(Z10*Assumptions!$D$77*IF(Assumptions!Z$191=2027,1+Assumptions!$F$175,1)/14+IF(Assumptions!Z$211=1,SUM(U89:Z89),0))</f>
        <v>11097.9831934263</v>
      </c>
      <c r="AA104" s="65" t="n">
        <f aca="false">Assumptions!$E$77*(AA10*Assumptions!$D$77*IF(Assumptions!AA$191=2027,1+Assumptions!$F$175,1)/14+IF(Assumptions!AA$211=1,SUM(V89:AA89),0))</f>
        <v>11097.9831932653</v>
      </c>
      <c r="AB104" s="65" t="n">
        <f aca="false">Assumptions!$E$77*(AB10*Assumptions!$D$77*IF(Assumptions!AB$191=2027,1+Assumptions!$F$175,1)/14+IF(Assumptions!AB$211=1,SUM(W89:AB89),0))</f>
        <v>22195.9663691678</v>
      </c>
    </row>
    <row r="105" customFormat="false" ht="15" hidden="false" customHeight="false" outlineLevel="0" collapsed="false">
      <c r="A105" s="28" t="s">
        <v>1155</v>
      </c>
      <c r="B105" s="63"/>
      <c r="C105" s="64" t="n">
        <f aca="false">SUM(E105:P105)</f>
        <v>105633.4845258</v>
      </c>
      <c r="D105" s="64" t="n">
        <f aca="false">SUM(Q105:AB105)</f>
        <v>126613.816872149</v>
      </c>
      <c r="E105" s="65" t="n">
        <f aca="false">Assumptions!$E$78*(E11*Assumptions!$D$78*IF(Assumptions!E$191=2027,1+Assumptions!$F$175,1)/14+IF(Assumptions!E$211=1,SUM(E90:E90),0))</f>
        <v>6788.57142857143</v>
      </c>
      <c r="F105" s="65" t="n">
        <f aca="false">Assumptions!$E$78*(F11*Assumptions!$D$78*IF(Assumptions!F$191=2027,1+Assumptions!$F$175,1)/14+IF(Assumptions!F$211=1,SUM(E90:F90),0))</f>
        <v>7354.28571428571</v>
      </c>
      <c r="G105" s="65" t="n">
        <f aca="false">Assumptions!$E$78*(G11*Assumptions!$D$78*IF(Assumptions!G$191=2027,1+Assumptions!$F$175,1)/14+IF(Assumptions!G$211=1,SUM(E90:G90),0))</f>
        <v>7354.28571428571</v>
      </c>
      <c r="H105" s="65" t="n">
        <f aca="false">Assumptions!$E$78*(H11*Assumptions!$D$78*IF(Assumptions!H$191=2027,1+Assumptions!$F$175,1)/14+IF(Assumptions!H$211=1,SUM(E90:H90),0))</f>
        <v>7354.28571428571</v>
      </c>
      <c r="I105" s="65" t="n">
        <f aca="false">Assumptions!$E$78*(I11*Assumptions!$D$78*IF(Assumptions!I$191=2027,1+Assumptions!$F$175,1)/14+IF(Assumptions!I$211=1,SUM(E90:I90),0))</f>
        <v>7920</v>
      </c>
      <c r="J105" s="65" t="n">
        <f aca="false">Assumptions!$E$78*(J11*Assumptions!$D$78*IF(Assumptions!J$191=2027,1+Assumptions!$F$175,1)/14+IF(Assumptions!J$211=1,SUM(E90:J90),0))</f>
        <v>15368.5714285714</v>
      </c>
      <c r="K105" s="65" t="n">
        <f aca="false">Assumptions!$E$78*(K11*Assumptions!$D$78*IF(Assumptions!K$191=2027,1+Assumptions!$F$175,1)/14+IF(Assumptions!K$211=1,SUM(F90:K90),0))</f>
        <v>7354.28571428571</v>
      </c>
      <c r="L105" s="65" t="n">
        <f aca="false">Assumptions!$E$78*(L11*Assumptions!$D$78*IF(Assumptions!L$191=2027,1+Assumptions!$F$175,1)/14+IF(Assumptions!L$211=1,SUM(G90:L90),0))</f>
        <v>7354.28571428571</v>
      </c>
      <c r="M105" s="65" t="n">
        <f aca="false">Assumptions!$E$78*(M11*Assumptions!$D$78*IF(Assumptions!M$191=2027,1+Assumptions!$F$175,1)/14+IF(Assumptions!M$211=1,SUM(H90:M90),0))</f>
        <v>7846.45714285714</v>
      </c>
      <c r="N105" s="65" t="n">
        <f aca="false">Assumptions!$E$78*(N11*Assumptions!$D$78*IF(Assumptions!N$191=2027,1+Assumptions!$F$175,1)/14+IF(Assumptions!N$211=1,SUM(I90:N90),0))</f>
        <v>7767.99257142857</v>
      </c>
      <c r="O105" s="65" t="n">
        <f aca="false">Assumptions!$E$78*(O11*Assumptions!$D$78*IF(Assumptions!O$191=2027,1+Assumptions!$F$175,1)/14+IF(Assumptions!O$211=1,SUM(J90:O90),0))</f>
        <v>7763.85550285714</v>
      </c>
      <c r="P105" s="65" t="n">
        <f aca="false">Assumptions!$E$78*(P11*Assumptions!$D$78*IF(Assumptions!P$191=2027,1+Assumptions!$F$175,1)/14+IF(Assumptions!P$211=1,SUM(K90:P90),0))</f>
        <v>15406.6078800857</v>
      </c>
      <c r="Q105" s="65" t="n">
        <f aca="false">Assumptions!$E$78*(Q11*Assumptions!$D$78*IF(Assumptions!Q$191=2027,1+Assumptions!$F$175,1)/14+IF(Assumptions!Q$211=1,SUM(L90:Q90),0))</f>
        <v>8621.9939275354</v>
      </c>
      <c r="R105" s="65" t="n">
        <f aca="false">Assumptions!$E$78*(R11*Assumptions!$D$78*IF(Assumptions!R$191=2027,1+Assumptions!$F$175,1)/14+IF(Assumptions!R$211=1,SUM(M90:R90),0))</f>
        <v>8616.12989271462</v>
      </c>
      <c r="S105" s="65" t="n">
        <f aca="false">Assumptions!$E$78*(S11*Assumptions!$D$78*IF(Assumptions!S$191=2027,1+Assumptions!$F$175,1)/14+IF(Assumptions!S$211=1,SUM(N90:S90),0))</f>
        <v>8610.33304751179</v>
      </c>
      <c r="T105" s="65" t="n">
        <f aca="false">Assumptions!$E$78*(T11*Assumptions!$D$78*IF(Assumptions!T$191=2027,1+Assumptions!$F$175,1)/14+IF(Assumptions!T$211=1,SUM(O90:T90),0))</f>
        <v>9195.96394202631</v>
      </c>
      <c r="U105" s="65" t="n">
        <f aca="false">Assumptions!$E$78*(U11*Assumptions!$D$78*IF(Assumptions!U$191=2027,1+Assumptions!$F$175,1)/14+IF(Assumptions!U$211=1,SUM(P90:U90),0))</f>
        <v>9190.16560153319</v>
      </c>
      <c r="V105" s="65" t="n">
        <f aca="false">Assumptions!$E$78*(V11*Assumptions!$D$78*IF(Assumptions!V$191=2027,1+Assumptions!$F$175,1)/14+IF(Assumptions!V$211=1,SUM(Q90:V90),0))</f>
        <v>18087.5262238787</v>
      </c>
      <c r="W105" s="65" t="n">
        <f aca="false">Assumptions!$E$78*(W11*Assumptions!$D$78*IF(Assumptions!W$191=2027,1+Assumptions!$F$175,1)/14+IF(Assumptions!W$211=1,SUM(R90:W90),0))</f>
        <v>9184.48324265331</v>
      </c>
      <c r="X105" s="65" t="n">
        <f aca="false">Assumptions!$E$78*(X11*Assumptions!$D$78*IF(Assumptions!X$191=2027,1+Assumptions!$F$175,1)/14+IF(Assumptions!X$211=1,SUM(S90:X90),0))</f>
        <v>9184.54006624211</v>
      </c>
      <c r="Y105" s="65" t="n">
        <f aca="false">Assumptions!$E$78*(Y11*Assumptions!$D$78*IF(Assumptions!Y$191=2027,1+Assumptions!$F$175,1)/14+IF(Assumptions!Y$211=1,SUM(T90:Y90),0))</f>
        <v>9184.53833833962</v>
      </c>
      <c r="Z105" s="65" t="n">
        <f aca="false">Assumptions!$E$78*(Z11*Assumptions!$D$78*IF(Assumptions!Z$191=2027,1+Assumptions!$F$175,1)/14+IF(Assumptions!Z$211=1,SUM(U90:Z90),0))</f>
        <v>9184.53778738275</v>
      </c>
      <c r="AA105" s="65" t="n">
        <f aca="false">Assumptions!$E$78*(AA11*Assumptions!$D$78*IF(Assumptions!AA$191=2027,1+Assumptions!$F$175,1)/14+IF(Assumptions!AA$211=1,SUM(V90:AA90),0))</f>
        <v>9184.53781017135</v>
      </c>
      <c r="AB105" s="65" t="n">
        <f aca="false">Assumptions!$E$78*(AB11*Assumptions!$D$78*IF(Assumptions!AB$191=2027,1+Assumptions!$F$175,1)/14+IF(Assumptions!AB$211=1,SUM(W90:AB90),0))</f>
        <v>18369.0669921601</v>
      </c>
    </row>
    <row r="106" customFormat="false" ht="15" hidden="false" customHeight="false" outlineLevel="0" collapsed="false">
      <c r="A106" s="28" t="s">
        <v>1156</v>
      </c>
      <c r="B106" s="63"/>
      <c r="C106" s="64" t="n">
        <f aca="false">SUM(E106:P106)</f>
        <v>22025.55194515</v>
      </c>
      <c r="D106" s="64" t="n">
        <f aca="false">SUM(Q106:AB106)</f>
        <v>27281.8086072695</v>
      </c>
      <c r="E106" s="65" t="n">
        <f aca="false">Assumptions!$E$79*(E12*Assumptions!$D$79*IF(Assumptions!E$191=2027,1+Assumptions!$F$175,1)/14+IF(Assumptions!E$211=1,SUM(E91:E91),0))</f>
        <v>1439.28571428571</v>
      </c>
      <c r="F106" s="65" t="n">
        <f aca="false">Assumptions!$E$79*(F12*Assumptions!$D$79*IF(Assumptions!F$191=2027,1+Assumptions!$F$175,1)/14+IF(Assumptions!F$211=1,SUM(E91:F91),0))</f>
        <v>1439.28571428571</v>
      </c>
      <c r="G106" s="65" t="n">
        <f aca="false">Assumptions!$E$79*(G12*Assumptions!$D$79*IF(Assumptions!G$191=2027,1+Assumptions!$F$175,1)/14+IF(Assumptions!G$211=1,SUM(E91:G91),0))</f>
        <v>1439.28571428571</v>
      </c>
      <c r="H106" s="65" t="n">
        <f aca="false">Assumptions!$E$79*(H12*Assumptions!$D$79*IF(Assumptions!H$191=2027,1+Assumptions!$F$175,1)/14+IF(Assumptions!H$211=1,SUM(E91:H91),0))</f>
        <v>1439.28571428571</v>
      </c>
      <c r="I106" s="65" t="n">
        <f aca="false">Assumptions!$E$79*(I12*Assumptions!$D$79*IF(Assumptions!I$191=2027,1+Assumptions!$F$175,1)/14+IF(Assumptions!I$211=1,SUM(E91:I91),0))</f>
        <v>1439.28571428571</v>
      </c>
      <c r="J106" s="65" t="n">
        <f aca="false">Assumptions!$E$79*(J12*Assumptions!$D$79*IF(Assumptions!J$191=2027,1+Assumptions!$F$175,1)/14+IF(Assumptions!J$211=1,SUM(E91:J91),0))</f>
        <v>2878.57142857143</v>
      </c>
      <c r="K106" s="65" t="n">
        <f aca="false">Assumptions!$E$79*(K12*Assumptions!$D$79*IF(Assumptions!K$191=2027,1+Assumptions!$F$175,1)/14+IF(Assumptions!K$211=1,SUM(F91:K91),0))</f>
        <v>1727.14285714286</v>
      </c>
      <c r="L106" s="65" t="n">
        <f aca="false">Assumptions!$E$79*(L12*Assumptions!$D$79*IF(Assumptions!L$191=2027,1+Assumptions!$F$175,1)/14+IF(Assumptions!L$211=1,SUM(G91:L91),0))</f>
        <v>1727.14285714286</v>
      </c>
      <c r="M106" s="65" t="n">
        <f aca="false">Assumptions!$E$79*(M12*Assumptions!$D$79*IF(Assumptions!M$191=2027,1+Assumptions!$F$175,1)/14+IF(Assumptions!M$211=1,SUM(H91:M91),0))</f>
        <v>1709.87142857143</v>
      </c>
      <c r="N106" s="65" t="n">
        <f aca="false">Assumptions!$E$79*(N12*Assumptions!$D$79*IF(Assumptions!N$191=2027,1+Assumptions!$F$175,1)/14+IF(Assumptions!N$211=1,SUM(I91:N91),0))</f>
        <v>1692.77271428571</v>
      </c>
      <c r="O106" s="65" t="n">
        <f aca="false">Assumptions!$E$79*(O12*Assumptions!$D$79*IF(Assumptions!O$191=2027,1+Assumptions!$F$175,1)/14+IF(Assumptions!O$211=1,SUM(J91:O91),0))</f>
        <v>1693.11641571429</v>
      </c>
      <c r="P106" s="65" t="n">
        <f aca="false">Assumptions!$E$79*(P12*Assumptions!$D$79*IF(Assumptions!P$191=2027,1+Assumptions!$F$175,1)/14+IF(Assumptions!P$211=1,SUM(K91:P91),0))</f>
        <v>3400.50567229286</v>
      </c>
      <c r="Q106" s="65" t="n">
        <f aca="false">Assumptions!$E$79*(Q12*Assumptions!$D$79*IF(Assumptions!Q$191=2027,1+Assumptions!$F$175,1)/14+IF(Assumptions!Q$211=1,SUM(L91:Q91),0))</f>
        <v>1752.54361319374</v>
      </c>
      <c r="R106" s="65" t="n">
        <f aca="false">Assumptions!$E$79*(R12*Assumptions!$D$79*IF(Assumptions!R$191=2027,1+Assumptions!$F$175,1)/14+IF(Assumptions!R$211=1,SUM(M91:R91),0))</f>
        <v>1752.54193196445</v>
      </c>
      <c r="S106" s="65" t="n">
        <f aca="false">Assumptions!$E$79*(S12*Assumptions!$D$79*IF(Assumptions!S$191=2027,1+Assumptions!$F$175,1)/14+IF(Assumptions!S$211=1,SUM(N91:S91),0))</f>
        <v>1752.54200169128</v>
      </c>
      <c r="T106" s="65" t="n">
        <f aca="false">Assumptions!$E$79*(T12*Assumptions!$D$79*IF(Assumptions!T$191=2027,1+Assumptions!$F$175,1)/14+IF(Assumptions!T$211=1,SUM(O91:T91),0))</f>
        <v>1752.5420178063</v>
      </c>
      <c r="U106" s="65" t="n">
        <f aca="false">Assumptions!$E$79*(U12*Assumptions!$D$79*IF(Assumptions!U$191=2027,1+Assumptions!$F$175,1)/14+IF(Assumptions!U$211=1,SUM(P91:U91),0))</f>
        <v>1752.54201694788</v>
      </c>
      <c r="V106" s="65" t="n">
        <f aca="false">Assumptions!$E$79*(V12*Assumptions!$D$79*IF(Assumptions!V$191=2027,1+Assumptions!$F$175,1)/14+IF(Assumptions!V$211=1,SUM(Q91:V91),0))</f>
        <v>3505.08428319514</v>
      </c>
      <c r="W106" s="65" t="n">
        <f aca="false">Assumptions!$E$79*(W12*Assumptions!$D$79*IF(Assumptions!W$191=2027,1+Assumptions!$F$175,1)/14+IF(Assumptions!W$211=1,SUM(R91:W91),0))</f>
        <v>1752.54201680543</v>
      </c>
      <c r="X106" s="65" t="n">
        <f aca="false">Assumptions!$E$79*(X12*Assumptions!$D$79*IF(Assumptions!X$191=2027,1+Assumptions!$F$175,1)/14+IF(Assumptions!X$211=1,SUM(S91:X91),0))</f>
        <v>1752.54201680685</v>
      </c>
      <c r="Y106" s="65" t="n">
        <f aca="false">Assumptions!$E$79*(Y12*Assumptions!$D$79*IF(Assumptions!Y$191=2027,1+Assumptions!$F$175,1)/14+IF(Assumptions!Y$211=1,SUM(T91:Y91),0))</f>
        <v>2348.40630252102</v>
      </c>
      <c r="Z106" s="65" t="n">
        <f aca="false">Assumptions!$E$79*(Z12*Assumptions!$D$79*IF(Assumptions!Z$191=2027,1+Assumptions!$F$175,1)/14+IF(Assumptions!Z$211=1,SUM(U91:Z91),0))</f>
        <v>2342.44765966386</v>
      </c>
      <c r="AA106" s="65" t="n">
        <f aca="false">Assumptions!$E$79*(AA12*Assumptions!$D$79*IF(Assumptions!AA$191=2027,1+Assumptions!$F$175,1)/14+IF(Assumptions!AA$211=1,SUM(V91:AA91),0))</f>
        <v>2336.54860323529</v>
      </c>
      <c r="AB106" s="65" t="n">
        <f aca="false">Assumptions!$E$79*(AB12*Assumptions!$D$79*IF(Assumptions!AB$191=2027,1+Assumptions!$F$175,1)/14+IF(Assumptions!AB$211=1,SUM(W91:AB91),0))</f>
        <v>4481.52614343825</v>
      </c>
    </row>
    <row r="107" customFormat="false" ht="15" hidden="false" customHeight="false" outlineLevel="0" collapsed="false">
      <c r="A107" s="28" t="s">
        <v>1157</v>
      </c>
      <c r="B107" s="63"/>
      <c r="C107" s="64" t="n">
        <f aca="false">SUM(E107:P107)</f>
        <v>52545.7650675154</v>
      </c>
      <c r="D107" s="64" t="n">
        <f aca="false">SUM(Q107:AB107)</f>
        <v>67217.7031631839</v>
      </c>
      <c r="E107" s="65" t="n">
        <f aca="false">Assumptions!$E$80*(E13*Assumptions!$D$80*IF(Assumptions!E$191=2027,1+Assumptions!$F$175,1)/14+IF(Assumptions!E$211=1,SUM(E92:E92),0))</f>
        <v>3771.42857142857</v>
      </c>
      <c r="F107" s="65" t="n">
        <f aca="false">Assumptions!$E$80*(F13*Assumptions!$D$80*IF(Assumptions!F$191=2027,1+Assumptions!$F$175,1)/14+IF(Assumptions!F$211=1,SUM(E92:F92),0))</f>
        <v>3771.42857142857</v>
      </c>
      <c r="G107" s="65" t="n">
        <f aca="false">Assumptions!$E$80*(G13*Assumptions!$D$80*IF(Assumptions!G$191=2027,1+Assumptions!$F$175,1)/14+IF(Assumptions!G$211=1,SUM(E92:G92),0))</f>
        <v>3771.42857142857</v>
      </c>
      <c r="H107" s="65" t="n">
        <f aca="false">Assumptions!$E$80*(H13*Assumptions!$D$80*IF(Assumptions!H$191=2027,1+Assumptions!$F$175,1)/14+IF(Assumptions!H$211=1,SUM(E92:H92),0))</f>
        <v>3771.42857142857</v>
      </c>
      <c r="I107" s="65" t="n">
        <f aca="false">Assumptions!$E$80*(I13*Assumptions!$D$80*IF(Assumptions!I$191=2027,1+Assumptions!$F$175,1)/14+IF(Assumptions!I$211=1,SUM(E92:I92),0))</f>
        <v>3771.42857142857</v>
      </c>
      <c r="J107" s="65" t="n">
        <f aca="false">Assumptions!$E$80*(J13*Assumptions!$D$80*IF(Assumptions!J$191=2027,1+Assumptions!$F$175,1)/14+IF(Assumptions!J$211=1,SUM(E92:J92),0))</f>
        <v>7542.85714285714</v>
      </c>
      <c r="K107" s="65" t="n">
        <f aca="false">Assumptions!$E$80*(K13*Assumptions!$D$80*IF(Assumptions!K$191=2027,1+Assumptions!$F$175,1)/14+IF(Assumptions!K$211=1,SUM(F92:K92),0))</f>
        <v>3771.42857142857</v>
      </c>
      <c r="L107" s="65" t="n">
        <f aca="false">Assumptions!$E$80*(L13*Assumptions!$D$80*IF(Assumptions!L$191=2027,1+Assumptions!$F$175,1)/14+IF(Assumptions!L$211=1,SUM(G92:L92),0))</f>
        <v>3771.42857142857</v>
      </c>
      <c r="M107" s="65" t="n">
        <f aca="false">Assumptions!$E$80*(M13*Assumptions!$D$80*IF(Assumptions!M$191=2027,1+Assumptions!$F$175,1)/14+IF(Assumptions!M$211=1,SUM(H92:M92),0))</f>
        <v>3740</v>
      </c>
      <c r="N107" s="65" t="n">
        <f aca="false">Assumptions!$E$80*(N13*Assumptions!$D$80*IF(Assumptions!N$191=2027,1+Assumptions!$F$175,1)/14+IF(Assumptions!N$211=1,SUM(I92:N92),0))</f>
        <v>3708.83333333333</v>
      </c>
      <c r="O107" s="65" t="n">
        <f aca="false">Assumptions!$E$80*(O13*Assumptions!$D$80*IF(Assumptions!O$191=2027,1+Assumptions!$F$175,1)/14+IF(Assumptions!O$211=1,SUM(J92:O92),0))</f>
        <v>3709.35496031746</v>
      </c>
      <c r="P107" s="65" t="n">
        <f aca="false">Assumptions!$E$80*(P13*Assumptions!$D$80*IF(Assumptions!P$191=2027,1+Assumptions!$F$175,1)/14+IF(Assumptions!P$211=1,SUM(K92:P92),0))</f>
        <v>7444.7196310075</v>
      </c>
      <c r="Q107" s="65" t="n">
        <f aca="false">Assumptions!$E$80*(Q13*Assumptions!$D$80*IF(Assumptions!Q$191=2027,1+Assumptions!$F$175,1)/14+IF(Assumptions!Q$211=1,SUM(L92:Q92),0))</f>
        <v>4815.29713860801</v>
      </c>
      <c r="R107" s="65" t="n">
        <f aca="false">Assumptions!$E$80*(R13*Assumptions!$D$80*IF(Assumptions!R$191=2027,1+Assumptions!$F$175,1)/14+IF(Assumptions!R$211=1,SUM(M92:R92),0))</f>
        <v>4807.16284898568</v>
      </c>
      <c r="S107" s="65" t="n">
        <f aca="false">Assumptions!$E$80*(S13*Assumptions!$D$80*IF(Assumptions!S$191=2027,1+Assumptions!$F$175,1)/14+IF(Assumptions!S$211=1,SUM(N92:S92),0))</f>
        <v>4799.09854772243</v>
      </c>
      <c r="T107" s="65" t="n">
        <f aca="false">Assumptions!$E$80*(T13*Assumptions!$D$80*IF(Assumptions!T$191=2027,1+Assumptions!$F$175,1)/14+IF(Assumptions!T$211=1,SUM(O92:T92),0))</f>
        <v>4799.23353597981</v>
      </c>
      <c r="U107" s="65" t="n">
        <f aca="false">Assumptions!$E$80*(U13*Assumptions!$D$80*IF(Assumptions!U$191=2027,1+Assumptions!$F$175,1)/14+IF(Assumptions!U$211=1,SUM(P92:U92),0))</f>
        <v>4799.29961358819</v>
      </c>
      <c r="V107" s="65" t="n">
        <f aca="false">Assumptions!$E$80*(V13*Assumptions!$D$80*IF(Assumptions!V$191=2027,1+Assumptions!$F$175,1)/14+IF(Assumptions!V$211=1,SUM(Q92:V92),0))</f>
        <v>9602.52954185989</v>
      </c>
      <c r="W107" s="65" t="n">
        <f aca="false">Assumptions!$E$80*(W13*Assumptions!$D$80*IF(Assumptions!W$191=2027,1+Assumptions!$F$175,1)/14+IF(Assumptions!W$211=1,SUM(R92:W92),0))</f>
        <v>4799.29740135548</v>
      </c>
      <c r="X107" s="65" t="n">
        <f aca="false">Assumptions!$E$80*(X13*Assumptions!$D$80*IF(Assumptions!X$191=2027,1+Assumptions!$F$175,1)/14+IF(Assumptions!X$211=1,SUM(S92:X92),0))</f>
        <v>4799.29741979076</v>
      </c>
      <c r="Y107" s="65" t="n">
        <f aca="false">Assumptions!$E$80*(Y13*Assumptions!$D$80*IF(Assumptions!Y$191=2027,1+Assumptions!$F$175,1)/14+IF(Assumptions!Y$211=1,SUM(T92:Y92),0))</f>
        <v>4799.2974241095</v>
      </c>
      <c r="Z107" s="65" t="n">
        <f aca="false">Assumptions!$E$80*(Z13*Assumptions!$D$80*IF(Assumptions!Z$191=2027,1+Assumptions!$F$175,1)/14+IF(Assumptions!Z$211=1,SUM(U92:Z92),0))</f>
        <v>4799.29742391988</v>
      </c>
      <c r="AA107" s="65" t="n">
        <f aca="false">Assumptions!$E$80*(AA13*Assumptions!$D$80*IF(Assumptions!AA$191=2027,1+Assumptions!$F$175,1)/14+IF(Assumptions!AA$211=1,SUM(V92:AA92),0))</f>
        <v>4799.29742388547</v>
      </c>
      <c r="AB107" s="65" t="n">
        <f aca="false">Assumptions!$E$80*(AB13*Assumptions!$D$80*IF(Assumptions!AB$191=2027,1+Assumptions!$F$175,1)/14+IF(Assumptions!AB$211=1,SUM(W92:AB92),0))</f>
        <v>9598.59484337874</v>
      </c>
    </row>
    <row r="108" customFormat="false" ht="15" hidden="false" customHeight="false" outlineLevel="0" collapsed="false">
      <c r="A108" s="28" t="s">
        <v>1158</v>
      </c>
      <c r="B108" s="63"/>
      <c r="C108" s="64" t="n">
        <f aca="false">SUM(E108:P108)</f>
        <v>21824.4058320192</v>
      </c>
      <c r="D108" s="64" t="n">
        <f aca="false">SUM(Q108:AB108)</f>
        <v>22325.4599618445</v>
      </c>
      <c r="E108" s="65" t="n">
        <f aca="false">Assumptions!$E$81*(E14*Assumptions!$D$81*IF(Assumptions!E$191=2027,1+Assumptions!$F$175,1)/14+IF(Assumptions!E$211=1,SUM(E93:E93),0))</f>
        <v>1566.42857142857</v>
      </c>
      <c r="F108" s="65" t="n">
        <f aca="false">Assumptions!$E$81*(F14*Assumptions!$D$81*IF(Assumptions!F$191=2027,1+Assumptions!$F$175,1)/14+IF(Assumptions!F$211=1,SUM(E93:F93),0))</f>
        <v>1566.42857142857</v>
      </c>
      <c r="G108" s="65" t="n">
        <f aca="false">Assumptions!$E$81*(G14*Assumptions!$D$81*IF(Assumptions!G$191=2027,1+Assumptions!$F$175,1)/14+IF(Assumptions!G$211=1,SUM(E93:G93),0))</f>
        <v>1566.42857142857</v>
      </c>
      <c r="H108" s="65" t="n">
        <f aca="false">Assumptions!$E$81*(H14*Assumptions!$D$81*IF(Assumptions!H$191=2027,1+Assumptions!$F$175,1)/14+IF(Assumptions!H$211=1,SUM(E93:H93),0))</f>
        <v>1566.42857142857</v>
      </c>
      <c r="I108" s="65" t="n">
        <f aca="false">Assumptions!$E$81*(I14*Assumptions!$D$81*IF(Assumptions!I$191=2027,1+Assumptions!$F$175,1)/14+IF(Assumptions!I$211=1,SUM(E93:I93),0))</f>
        <v>1566.42857142857</v>
      </c>
      <c r="J108" s="65" t="n">
        <f aca="false">Assumptions!$E$81*(J14*Assumptions!$D$81*IF(Assumptions!J$191=2027,1+Assumptions!$F$175,1)/14+IF(Assumptions!J$211=1,SUM(E93:J93),0))</f>
        <v>3132.85714285714</v>
      </c>
      <c r="K108" s="65" t="n">
        <f aca="false">Assumptions!$E$81*(K14*Assumptions!$D$81*IF(Assumptions!K$191=2027,1+Assumptions!$F$175,1)/14+IF(Assumptions!K$211=1,SUM(F93:K93),0))</f>
        <v>1566.42857142857</v>
      </c>
      <c r="L108" s="65" t="n">
        <f aca="false">Assumptions!$E$81*(L14*Assumptions!$D$81*IF(Assumptions!L$191=2027,1+Assumptions!$F$175,1)/14+IF(Assumptions!L$211=1,SUM(G93:L93),0))</f>
        <v>1566.42857142857</v>
      </c>
      <c r="M108" s="65" t="n">
        <f aca="false">Assumptions!$E$81*(M14*Assumptions!$D$81*IF(Assumptions!M$191=2027,1+Assumptions!$F$175,1)/14+IF(Assumptions!M$211=1,SUM(H93:M93),0))</f>
        <v>1553.375</v>
      </c>
      <c r="N108" s="65" t="n">
        <f aca="false">Assumptions!$E$81*(N14*Assumptions!$D$81*IF(Assumptions!N$191=2027,1+Assumptions!$F$175,1)/14+IF(Assumptions!N$211=1,SUM(I93:N93),0))</f>
        <v>1540.43020833333</v>
      </c>
      <c r="O108" s="65" t="n">
        <f aca="false">Assumptions!$E$81*(O14*Assumptions!$D$81*IF(Assumptions!O$191=2027,1+Assumptions!$F$175,1)/14+IF(Assumptions!O$211=1,SUM(J93:O93),0))</f>
        <v>1540.64686135913</v>
      </c>
      <c r="P108" s="65" t="n">
        <f aca="false">Assumptions!$E$81*(P14*Assumptions!$D$81*IF(Assumptions!P$191=2027,1+Assumptions!$F$175,1)/14+IF(Assumptions!P$211=1,SUM(K93:P93),0))</f>
        <v>3092.09661946959</v>
      </c>
      <c r="Q108" s="65" t="n">
        <f aca="false">Assumptions!$E$81*(Q14*Assumptions!$D$81*IF(Assumptions!Q$191=2027,1+Assumptions!$F$175,1)/14+IF(Assumptions!Q$211=1,SUM(L93:Q93),0))</f>
        <v>1594.67649823516</v>
      </c>
      <c r="R108" s="65" t="n">
        <f aca="false">Assumptions!$E$81*(R14*Assumptions!$D$81*IF(Assumptions!R$191=2027,1+Assumptions!$F$175,1)/14+IF(Assumptions!R$211=1,SUM(M93:R93),0))</f>
        <v>1594.67560659576</v>
      </c>
      <c r="S108" s="65" t="n">
        <f aca="false">Assumptions!$E$81*(S14*Assumptions!$D$81*IF(Assumptions!S$191=2027,1+Assumptions!$F$175,1)/14+IF(Assumptions!S$211=1,SUM(N93:S93),0))</f>
        <v>1594.67563722165</v>
      </c>
      <c r="T108" s="65" t="n">
        <f aca="false">Assumptions!$E$81*(T14*Assumptions!$D$81*IF(Assumptions!T$191=2027,1+Assumptions!$F$175,1)/14+IF(Assumptions!T$211=1,SUM(O93:T93),0))</f>
        <v>1594.67564439676</v>
      </c>
      <c r="U108" s="65" t="n">
        <f aca="false">Assumptions!$E$81*(U14*Assumptions!$D$81*IF(Assumptions!U$191=2027,1+Assumptions!$F$175,1)/14+IF(Assumptions!U$211=1,SUM(P93:U93),0))</f>
        <v>1594.67564408175</v>
      </c>
      <c r="V108" s="65" t="n">
        <f aca="false">Assumptions!$E$81*(V14*Assumptions!$D$81*IF(Assumptions!V$191=2027,1+Assumptions!$F$175,1)/14+IF(Assumptions!V$211=1,SUM(Q93:V93),0))</f>
        <v>3189.35142311719</v>
      </c>
      <c r="W108" s="65" t="n">
        <f aca="false">Assumptions!$E$81*(W14*Assumptions!$D$81*IF(Assumptions!W$191=2027,1+Assumptions!$F$175,1)/14+IF(Assumptions!W$211=1,SUM(R93:W93),0))</f>
        <v>1594.67564402769</v>
      </c>
      <c r="X108" s="65" t="n">
        <f aca="false">Assumptions!$E$81*(X14*Assumptions!$D$81*IF(Assumptions!X$191=2027,1+Assumptions!$F$175,1)/14+IF(Assumptions!X$211=1,SUM(S93:X93),0))</f>
        <v>1594.67564402814</v>
      </c>
      <c r="Y108" s="65" t="n">
        <f aca="false">Assumptions!$E$81*(Y14*Assumptions!$D$81*IF(Assumptions!Y$191=2027,1+Assumptions!$F$175,1)/14+IF(Assumptions!Y$211=1,SUM(T93:Y93),0))</f>
        <v>1594.67564402811</v>
      </c>
      <c r="Z108" s="65" t="n">
        <f aca="false">Assumptions!$E$81*(Z14*Assumptions!$D$81*IF(Assumptions!Z$191=2027,1+Assumptions!$F$175,1)/14+IF(Assumptions!Z$211=1,SUM(U93:Z93),0))</f>
        <v>1594.6756440281</v>
      </c>
      <c r="AA108" s="65" t="n">
        <f aca="false">Assumptions!$E$81*(AA14*Assumptions!$D$81*IF(Assumptions!AA$191=2027,1+Assumptions!$F$175,1)/14+IF(Assumptions!AA$211=1,SUM(V93:AA93),0))</f>
        <v>1594.6756440281</v>
      </c>
      <c r="AB108" s="65" t="n">
        <f aca="false">Assumptions!$E$81*(AB14*Assumptions!$D$81*IF(Assumptions!AB$191=2027,1+Assumptions!$F$175,1)/14+IF(Assumptions!AB$211=1,SUM(W93:AB93),0))</f>
        <v>3189.35128805614</v>
      </c>
    </row>
    <row r="109" customFormat="false" ht="15" hidden="false" customHeight="false" outlineLevel="0" collapsed="false">
      <c r="A109" s="28" t="s">
        <v>1159</v>
      </c>
      <c r="B109" s="63"/>
      <c r="C109" s="64" t="n">
        <f aca="false">SUM(E109:P109)</f>
        <v>24220.5358547635</v>
      </c>
      <c r="D109" s="64" t="n">
        <f aca="false">SUM(Q109:AB109)</f>
        <v>26081.8635304473</v>
      </c>
      <c r="E109" s="65" t="n">
        <f aca="false">Assumptions!$E$82*(E15*Assumptions!$D$82*IF(Assumptions!E$191=2027,1+Assumptions!$F$175,1)/14+IF(Assumptions!E$211=1,SUM(E94:E94),0))</f>
        <v>1697.14285714286</v>
      </c>
      <c r="F109" s="65" t="n">
        <f aca="false">Assumptions!$E$82*(F15*Assumptions!$D$82*IF(Assumptions!F$191=2027,1+Assumptions!$F$175,1)/14+IF(Assumptions!F$211=1,SUM(E94:F94),0))</f>
        <v>1697.14285714286</v>
      </c>
      <c r="G109" s="65" t="n">
        <f aca="false">Assumptions!$E$82*(G15*Assumptions!$D$82*IF(Assumptions!G$191=2027,1+Assumptions!$F$175,1)/14+IF(Assumptions!G$211=1,SUM(E94:G94),0))</f>
        <v>1697.14285714286</v>
      </c>
      <c r="H109" s="65" t="n">
        <f aca="false">Assumptions!$E$82*(H15*Assumptions!$D$82*IF(Assumptions!H$191=2027,1+Assumptions!$F$175,1)/14+IF(Assumptions!H$211=1,SUM(E94:H94),0))</f>
        <v>1697.14285714286</v>
      </c>
      <c r="I109" s="65" t="n">
        <f aca="false">Assumptions!$E$82*(I15*Assumptions!$D$82*IF(Assumptions!I$191=2027,1+Assumptions!$F$175,1)/14+IF(Assumptions!I$211=1,SUM(E94:I94),0))</f>
        <v>1909.28571428571</v>
      </c>
      <c r="J109" s="65" t="n">
        <f aca="false">Assumptions!$E$82*(J15*Assumptions!$D$82*IF(Assumptions!J$191=2027,1+Assumptions!$F$175,1)/14+IF(Assumptions!J$211=1,SUM(E94:J94),0))</f>
        <v>3677.14285714286</v>
      </c>
      <c r="K109" s="65" t="n">
        <f aca="false">Assumptions!$E$82*(K15*Assumptions!$D$82*IF(Assumptions!K$191=2027,1+Assumptions!$F$175,1)/14+IF(Assumptions!K$211=1,SUM(F94:K94),0))</f>
        <v>1909.28571428571</v>
      </c>
      <c r="L109" s="65" t="n">
        <f aca="false">Assumptions!$E$82*(L15*Assumptions!$D$82*IF(Assumptions!L$191=2027,1+Assumptions!$F$175,1)/14+IF(Assumptions!L$211=1,SUM(G94:L94),0))</f>
        <v>1697.14285714286</v>
      </c>
      <c r="M109" s="65" t="n">
        <f aca="false">Assumptions!$E$82*(M15*Assumptions!$D$82*IF(Assumptions!M$191=2027,1+Assumptions!$F$175,1)/14+IF(Assumptions!M$211=1,SUM(H94:M94),0))</f>
        <v>1661.78571428571</v>
      </c>
      <c r="N109" s="65" t="n">
        <f aca="false">Assumptions!$E$82*(N15*Assumptions!$D$82*IF(Assumptions!N$191=2027,1+Assumptions!$F$175,1)/14+IF(Assumptions!N$211=1,SUM(I94:N94),0))</f>
        <v>1627.16517857143</v>
      </c>
      <c r="O109" s="65" t="n">
        <f aca="false">Assumptions!$E$82*(O15*Assumptions!$D$82*IF(Assumptions!O$191=2027,1+Assumptions!$F$175,1)/14+IF(Assumptions!O$211=1,SUM(J94:O94),0))</f>
        <v>1628.623046875</v>
      </c>
      <c r="P109" s="65" t="n">
        <f aca="false">Assumptions!$E$82*(P15*Assumptions!$D$82*IF(Assumptions!P$191=2027,1+Assumptions!$F$175,1)/14+IF(Assumptions!P$211=1,SUM(K94:P94),0))</f>
        <v>3321.53334360274</v>
      </c>
      <c r="Q109" s="65" t="n">
        <f aca="false">Assumptions!$E$82*(Q15*Assumptions!$D$82*IF(Assumptions!Q$191=2027,1+Assumptions!$F$175,1)/14+IF(Assumptions!Q$211=1,SUM(L94:Q94),0))</f>
        <v>1686.29359095437</v>
      </c>
      <c r="R109" s="65" t="n">
        <f aca="false">Assumptions!$E$82*(R15*Assumptions!$D$82*IF(Assumptions!R$191=2027,1+Assumptions!$F$175,1)/14+IF(Assumptions!R$211=1,SUM(M94:R94),0))</f>
        <v>1686.2796589244</v>
      </c>
      <c r="S109" s="65" t="n">
        <f aca="false">Assumptions!$E$82*(S15*Assumptions!$D$82*IF(Assumptions!S$191=2027,1+Assumptions!$F$175,1)/14+IF(Assumptions!S$211=1,SUM(N94:S94),0))</f>
        <v>1905.84877157991</v>
      </c>
      <c r="T109" s="65" t="n">
        <f aca="false">Assumptions!$E$82*(T15*Assumptions!$D$82*IF(Assumptions!T$191=2027,1+Assumptions!$F$175,1)/14+IF(Assumptions!T$211=1,SUM(O94:T94),0))</f>
        <v>1901.27470531688</v>
      </c>
      <c r="U109" s="65" t="n">
        <f aca="false">Assumptions!$E$82*(U15*Assumptions!$D$82*IF(Assumptions!U$191=2027,1+Assumptions!$F$175,1)/14+IF(Assumptions!U$211=1,SUM(P94:U94),0))</f>
        <v>1896.79564185036</v>
      </c>
      <c r="V109" s="65" t="n">
        <f aca="false">Assumptions!$E$82*(V15*Assumptions!$D$82*IF(Assumptions!V$191=2027,1+Assumptions!$F$175,1)/14+IF(Assumptions!V$211=1,SUM(Q94:V94),0))</f>
        <v>3725.89701827734</v>
      </c>
      <c r="W109" s="65" t="n">
        <f aca="false">Assumptions!$E$82*(W15*Assumptions!$D$82*IF(Assumptions!W$191=2027,1+Assumptions!$F$175,1)/14+IF(Assumptions!W$211=1,SUM(R94:W94),0))</f>
        <v>1897.07363323217</v>
      </c>
      <c r="X109" s="65" t="n">
        <f aca="false">Assumptions!$E$82*(X15*Assumptions!$D$82*IF(Assumptions!X$191=2027,1+Assumptions!$F$175,1)/14+IF(Assumptions!X$211=1,SUM(S94:X94),0))</f>
        <v>1897.06784174505</v>
      </c>
      <c r="Y109" s="65" t="n">
        <f aca="false">Assumptions!$E$82*(Y15*Assumptions!$D$82*IF(Assumptions!Y$191=2027,1+Assumptions!$F$175,1)/14+IF(Assumptions!Y$211=1,SUM(T94:Y94),0))</f>
        <v>1897.06610022369</v>
      </c>
      <c r="Z109" s="65" t="n">
        <f aca="false">Assumptions!$E$82*(Z15*Assumptions!$D$82*IF(Assumptions!Z$191=2027,1+Assumptions!$F$175,1)/14+IF(Assumptions!Z$211=1,SUM(U94:Z94),0))</f>
        <v>1897.06625716137</v>
      </c>
      <c r="AA109" s="65" t="n">
        <f aca="false">Assumptions!$E$82*(AA15*Assumptions!$D$82*IF(Assumptions!AA$191=2027,1+Assumptions!$F$175,1)/14+IF(Assumptions!AA$211=1,SUM(V94:AA94),0))</f>
        <v>1897.06629017353</v>
      </c>
      <c r="AB109" s="65" t="n">
        <f aca="false">Assumptions!$E$82*(AB15*Assumptions!$D$82*IF(Assumptions!AB$191=2027,1+Assumptions!$F$175,1)/14+IF(Assumptions!AB$211=1,SUM(W94:AB94),0))</f>
        <v>3794.13402100824</v>
      </c>
    </row>
    <row r="110" customFormat="false" ht="15" hidden="false" customHeight="false" outlineLevel="0" collapsed="false">
      <c r="A110" s="28" t="s">
        <v>1160</v>
      </c>
      <c r="B110" s="63"/>
      <c r="C110" s="64" t="n">
        <f aca="false">SUM(E110:P110)</f>
        <v>31673.1292181396</v>
      </c>
      <c r="D110" s="64" t="n">
        <f aca="false">SUM(Q110:AB110)</f>
        <v>38312.090297013</v>
      </c>
      <c r="E110" s="65" t="n">
        <f aca="false">Assumptions!$E$83*(E16*Assumptions!$D$83*IF(Assumptions!E$191=2027,1+Assumptions!$F$175,1)/14+IF(Assumptions!E$211=1,SUM(E95:E95),0))</f>
        <v>1982.14285714286</v>
      </c>
      <c r="F110" s="65" t="n">
        <f aca="false">Assumptions!$E$83*(F16*Assumptions!$D$83*IF(Assumptions!F$191=2027,1+Assumptions!$F$175,1)/14+IF(Assumptions!F$211=1,SUM(E95:F95),0))</f>
        <v>1982.14285714286</v>
      </c>
      <c r="G110" s="65" t="n">
        <f aca="false">Assumptions!$E$83*(G16*Assumptions!$D$83*IF(Assumptions!G$191=2027,1+Assumptions!$F$175,1)/14+IF(Assumptions!G$211=1,SUM(E95:G95),0))</f>
        <v>1982.14285714286</v>
      </c>
      <c r="H110" s="65" t="n">
        <f aca="false">Assumptions!$E$83*(H16*Assumptions!$D$83*IF(Assumptions!H$191=2027,1+Assumptions!$F$175,1)/14+IF(Assumptions!H$211=1,SUM(E95:H95),0))</f>
        <v>2378.57142857143</v>
      </c>
      <c r="I110" s="65" t="n">
        <f aca="false">Assumptions!$E$83*(I16*Assumptions!$D$83*IF(Assumptions!I$191=2027,1+Assumptions!$F$175,1)/14+IF(Assumptions!I$211=1,SUM(E95:I95),0))</f>
        <v>2378.57142857143</v>
      </c>
      <c r="J110" s="65" t="n">
        <f aca="false">Assumptions!$E$83*(J16*Assumptions!$D$83*IF(Assumptions!J$191=2027,1+Assumptions!$F$175,1)/14+IF(Assumptions!J$211=1,SUM(E95:J95),0))</f>
        <v>4558.92857142857</v>
      </c>
      <c r="K110" s="65" t="n">
        <f aca="false">Assumptions!$E$83*(K16*Assumptions!$D$83*IF(Assumptions!K$191=2027,1+Assumptions!$F$175,1)/14+IF(Assumptions!K$211=1,SUM(F95:K95),0))</f>
        <v>2378.57142857143</v>
      </c>
      <c r="L110" s="65" t="n">
        <f aca="false">Assumptions!$E$83*(L16*Assumptions!$D$83*IF(Assumptions!L$191=2027,1+Assumptions!$F$175,1)/14+IF(Assumptions!L$211=1,SUM(G95:L95),0))</f>
        <v>2378.57142857143</v>
      </c>
      <c r="M110" s="65" t="n">
        <f aca="false">Assumptions!$E$83*(M16*Assumptions!$D$83*IF(Assumptions!M$191=2027,1+Assumptions!$F$175,1)/14+IF(Assumptions!M$211=1,SUM(H95:M95),0))</f>
        <v>2348.83928571429</v>
      </c>
      <c r="N110" s="65" t="n">
        <f aca="false">Assumptions!$E$83*(N16*Assumptions!$D$83*IF(Assumptions!N$191=2027,1+Assumptions!$F$175,1)/14+IF(Assumptions!N$211=1,SUM(I95:N95),0))</f>
        <v>2319.47879464286</v>
      </c>
      <c r="O110" s="65" t="n">
        <f aca="false">Assumptions!$E$83*(O16*Assumptions!$D$83*IF(Assumptions!O$191=2027,1+Assumptions!$F$175,1)/14+IF(Assumptions!O$211=1,SUM(J95:O95),0))</f>
        <v>2320.21745256696</v>
      </c>
      <c r="P110" s="65" t="n">
        <f aca="false">Assumptions!$E$83*(P16*Assumptions!$D$83*IF(Assumptions!P$191=2027,1+Assumptions!$F$175,1)/14+IF(Assumptions!P$211=1,SUM(K95:P95),0))</f>
        <v>4664.95082807268</v>
      </c>
      <c r="Q110" s="65" t="n">
        <f aca="false">Assumptions!$E$83*(Q16*Assumptions!$D$83*IF(Assumptions!Q$191=2027,1+Assumptions!$F$175,1)/14+IF(Assumptions!Q$211=1,SUM(L95:Q95),0))</f>
        <v>2401.78117329918</v>
      </c>
      <c r="R110" s="65" t="n">
        <f aca="false">Assumptions!$E$83*(R16*Assumptions!$D$83*IF(Assumptions!R$191=2027,1+Assumptions!$F$175,1)/14+IF(Assumptions!R$211=1,SUM(M95:R95),0))</f>
        <v>2401.77672192552</v>
      </c>
      <c r="S110" s="65" t="n">
        <f aca="false">Assumptions!$E$83*(S16*Assumptions!$D$83*IF(Assumptions!S$191=2027,1+Assumptions!$F$175,1)/14+IF(Assumptions!S$211=1,SUM(N95:S95),0))</f>
        <v>2812.08052630969</v>
      </c>
      <c r="T110" s="65" t="n">
        <f aca="false">Assumptions!$E$83*(T16*Assumptions!$D$83*IF(Assumptions!T$191=2027,1+Assumptions!$F$175,1)/14+IF(Assumptions!T$211=1,SUM(O95:T95),0))</f>
        <v>2806.95178439706</v>
      </c>
      <c r="U110" s="65" t="n">
        <f aca="false">Assumptions!$E$83*(U16*Assumptions!$D$83*IF(Assumptions!U$191=2027,1+Assumptions!$F$175,1)/14+IF(Assumptions!U$211=1,SUM(P95:U95),0))</f>
        <v>2801.88709611617</v>
      </c>
      <c r="V110" s="65" t="n">
        <f aca="false">Assumptions!$E$83*(V16*Assumptions!$D$83*IF(Assumptions!V$191=2027,1+Assumptions!$F$175,1)/14+IF(Assumptions!V$211=1,SUM(Q95:V95),0))</f>
        <v>5473.09648333379</v>
      </c>
      <c r="W110" s="65" t="n">
        <f aca="false">Assumptions!$E$83*(W16*Assumptions!$D$83*IF(Assumptions!W$191=2027,1+Assumptions!$F$175,1)/14+IF(Assumptions!W$211=1,SUM(R95:W95),0))</f>
        <v>2802.07622987363</v>
      </c>
      <c r="X110" s="65" t="n">
        <f aca="false">Assumptions!$E$83*(X16*Assumptions!$D$83*IF(Assumptions!X$191=2027,1+Assumptions!$F$175,1)/14+IF(Assumptions!X$211=1,SUM(S95:X95),0))</f>
        <v>2802.07386570166</v>
      </c>
      <c r="Y110" s="65" t="n">
        <f aca="false">Assumptions!$E$83*(Y16*Assumptions!$D$83*IF(Assumptions!Y$191=2027,1+Assumptions!$F$175,1)/14+IF(Assumptions!Y$211=1,SUM(T95:Y95),0))</f>
        <v>2802.07312380531</v>
      </c>
      <c r="Z110" s="65" t="n">
        <f aca="false">Assumptions!$E$83*(Z16*Assumptions!$D$83*IF(Assumptions!Z$191=2027,1+Assumptions!$F$175,1)/14+IF(Assumptions!Z$211=1,SUM(U95:Z95),0))</f>
        <v>2802.07316263116</v>
      </c>
      <c r="AA110" s="65" t="n">
        <f aca="false">Assumptions!$E$83*(AA16*Assumptions!$D$83*IF(Assumptions!AA$191=2027,1+Assumptions!$F$175,1)/14+IF(Assumptions!AA$211=1,SUM(V95:AA95),0))</f>
        <v>2802.07317141954</v>
      </c>
      <c r="AB110" s="65" t="n">
        <f aca="false">Assumptions!$E$83*(AB16*Assumptions!$D$83*IF(Assumptions!AB$191=2027,1+Assumptions!$F$175,1)/14+IF(Assumptions!AB$211=1,SUM(W95:AB95),0))</f>
        <v>5604.14695820031</v>
      </c>
    </row>
    <row r="111" customFormat="false" ht="15" hidden="false" customHeight="false" outlineLevel="0" collapsed="false">
      <c r="A111" s="28" t="s">
        <v>1161</v>
      </c>
      <c r="B111" s="63"/>
      <c r="C111" s="64" t="n">
        <f aca="false">SUM(E111:P111)</f>
        <v>41319.833192627</v>
      </c>
      <c r="D111" s="64" t="n">
        <f aca="false">SUM(Q111:AB111)</f>
        <v>55295.9527307338</v>
      </c>
      <c r="E111" s="65" t="n">
        <f aca="false">Assumptions!$E$84*(E17*Assumptions!$D$84*IF(Assumptions!E$191=2027,1+Assumptions!$F$175,1)/14+IF(Assumptions!E$211=1,SUM(E96:E96),0))</f>
        <v>2550</v>
      </c>
      <c r="F111" s="65" t="n">
        <f aca="false">Assumptions!$E$84*(F17*Assumptions!$D$84*IF(Assumptions!F$191=2027,1+Assumptions!$F$175,1)/14+IF(Assumptions!F$211=1,SUM(E96:F96),0))</f>
        <v>2550</v>
      </c>
      <c r="G111" s="65" t="n">
        <f aca="false">Assumptions!$E$84*(G17*Assumptions!$D$84*IF(Assumptions!G$191=2027,1+Assumptions!$F$175,1)/14+IF(Assumptions!G$211=1,SUM(E96:G96),0))</f>
        <v>2550</v>
      </c>
      <c r="H111" s="65" t="n">
        <f aca="false">Assumptions!$E$84*(H17*Assumptions!$D$84*IF(Assumptions!H$191=2027,1+Assumptions!$F$175,1)/14+IF(Assumptions!H$211=1,SUM(E96:H96),0))</f>
        <v>2550</v>
      </c>
      <c r="I111" s="65" t="n">
        <f aca="false">Assumptions!$E$84*(I17*Assumptions!$D$84*IF(Assumptions!I$191=2027,1+Assumptions!$F$175,1)/14+IF(Assumptions!I$211=1,SUM(E96:I96),0))</f>
        <v>2550</v>
      </c>
      <c r="J111" s="65" t="n">
        <f aca="false">Assumptions!$E$84*(J17*Assumptions!$D$84*IF(Assumptions!J$191=2027,1+Assumptions!$F$175,1)/14+IF(Assumptions!J$211=1,SUM(E96:J96),0))</f>
        <v>5695</v>
      </c>
      <c r="K111" s="65" t="n">
        <f aca="false">Assumptions!$E$84*(K17*Assumptions!$D$84*IF(Assumptions!K$191=2027,1+Assumptions!$F$175,1)/14+IF(Assumptions!K$211=1,SUM(F96:K96),0))</f>
        <v>3060</v>
      </c>
      <c r="L111" s="65" t="n">
        <f aca="false">Assumptions!$E$84*(L17*Assumptions!$D$84*IF(Assumptions!L$191=2027,1+Assumptions!$F$175,1)/14+IF(Assumptions!L$211=1,SUM(G96:L96),0))</f>
        <v>3060</v>
      </c>
      <c r="M111" s="65" t="n">
        <f aca="false">Assumptions!$E$84*(M17*Assumptions!$D$84*IF(Assumptions!M$191=2027,1+Assumptions!$F$175,1)/14+IF(Assumptions!M$211=1,SUM(H96:M96),0))</f>
        <v>3021.75</v>
      </c>
      <c r="N111" s="65" t="n">
        <f aca="false">Assumptions!$E$84*(N17*Assumptions!$D$84*IF(Assumptions!N$191=2027,1+Assumptions!$F$175,1)/14+IF(Assumptions!N$211=1,SUM(I96:N96),0))</f>
        <v>3493.978125</v>
      </c>
      <c r="O111" s="65" t="n">
        <f aca="false">Assumptions!$E$84*(O17*Assumptions!$D$84*IF(Assumptions!O$191=2027,1+Assumptions!$F$175,1)/14+IF(Assumptions!O$211=1,SUM(J96:O96),0))</f>
        <v>3488.5533984375</v>
      </c>
      <c r="P111" s="65" t="n">
        <f aca="false">Assumptions!$E$84*(P17*Assumptions!$D$84*IF(Assumptions!P$191=2027,1+Assumptions!$F$175,1)/14+IF(Assumptions!P$211=1,SUM(K96:P96),0))</f>
        <v>6750.55166918945</v>
      </c>
      <c r="Q111" s="65" t="n">
        <f aca="false">Assumptions!$E$84*(Q17*Assumptions!$D$84*IF(Assumptions!Q$191=2027,1+Assumptions!$F$175,1)/14+IF(Assumptions!Q$211=1,SUM(L96:Q96),0))</f>
        <v>3604.75917167752</v>
      </c>
      <c r="R111" s="65" t="n">
        <f aca="false">Assumptions!$E$84*(R17*Assumptions!$D$84*IF(Assumptions!R$191=2027,1+Assumptions!$F$175,1)/14+IF(Assumptions!R$211=1,SUM(M96:R96),0))</f>
        <v>3604.83284162384</v>
      </c>
      <c r="S111" s="65" t="n">
        <f aca="false">Assumptions!$E$84*(S17*Assumptions!$D$84*IF(Assumptions!S$191=2027,1+Assumptions!$F$175,1)/14+IF(Assumptions!S$211=1,SUM(N96:S96),0))</f>
        <v>3604.83009983373</v>
      </c>
      <c r="T111" s="65" t="n">
        <f aca="false">Assumptions!$E$84*(T17*Assumptions!$D$84*IF(Assumptions!T$191=2027,1+Assumptions!$F$175,1)/14+IF(Assumptions!T$211=1,SUM(O96:T96),0))</f>
        <v>3604.82921323178</v>
      </c>
      <c r="U111" s="65" t="n">
        <f aca="false">Assumptions!$E$84*(U17*Assumptions!$D$84*IF(Assumptions!U$191=2027,1+Assumptions!$F$175,1)/14+IF(Assumptions!U$211=1,SUM(P96:U96),0))</f>
        <v>4132.67925858668</v>
      </c>
      <c r="V111" s="65" t="n">
        <f aca="false">Assumptions!$E$84*(V17*Assumptions!$D$84*IF(Assumptions!V$191=2027,1+Assumptions!$F$175,1)/14+IF(Assumptions!V$211=1,SUM(Q96:V96),0))</f>
        <v>7905.74976561157</v>
      </c>
      <c r="W111" s="65" t="n">
        <f aca="false">Assumptions!$E$84*(W17*Assumptions!$D$84*IF(Assumptions!W$191=2027,1+Assumptions!$F$175,1)/14+IF(Assumptions!W$211=1,SUM(R96:W96),0))</f>
        <v>4119.56549496639</v>
      </c>
      <c r="X111" s="65" t="n">
        <f aca="false">Assumptions!$E$84*(X17*Assumptions!$D$84*IF(Assumptions!X$191=2027,1+Assumptions!$F$175,1)/14+IF(Assumptions!X$211=1,SUM(S96:X96),0))</f>
        <v>4119.72941701164</v>
      </c>
      <c r="Y111" s="65" t="n">
        <f aca="false">Assumptions!$E$84*(Y17*Assumptions!$D$84*IF(Assumptions!Y$191=2027,1+Assumptions!$F$175,1)/14+IF(Assumptions!Y$211=1,SUM(T96:Y96),0))</f>
        <v>4119.80881360027</v>
      </c>
      <c r="Z111" s="65" t="n">
        <f aca="false">Assumptions!$E$84*(Z17*Assumptions!$D$84*IF(Assumptions!Z$191=2027,1+Assumptions!$F$175,1)/14+IF(Assumptions!Z$211=1,SUM(U96:Z96),0))</f>
        <v>4119.80577211735</v>
      </c>
      <c r="AA111" s="65" t="n">
        <f aca="false">Assumptions!$E$84*(AA17*Assumptions!$D$84*IF(Assumptions!AA$191=2027,1+Assumptions!$F$175,1)/14+IF(Assumptions!AA$211=1,SUM(V96:AA96),0))</f>
        <v>4119.80481767853</v>
      </c>
      <c r="AB111" s="65" t="n">
        <f aca="false">Assumptions!$E$84*(AB17*Assumptions!$D$84*IF(Assumptions!AB$191=2027,1+Assumptions!$F$175,1)/14+IF(Assumptions!AB$211=1,SUM(W96:AB96),0))</f>
        <v>8239.55806479451</v>
      </c>
    </row>
    <row r="112" customFormat="false" ht="15" hidden="false" customHeight="false" outlineLevel="0" collapsed="false">
      <c r="A112" s="28" t="s">
        <v>1162</v>
      </c>
      <c r="B112" s="63"/>
      <c r="C112" s="64" t="n">
        <f aca="false">SUM(E112:P112)</f>
        <v>28181.5480882935</v>
      </c>
      <c r="D112" s="64" t="n">
        <f aca="false">SUM(Q112:AB112)</f>
        <v>28337.4870886162</v>
      </c>
      <c r="E112" s="65" t="n">
        <f aca="false">Assumptions!$E$85*(E18*Assumptions!$D$85*IF(Assumptions!E$191=2027,1+Assumptions!$F$175,1)/14+IF(Assumptions!E$211=1,SUM(E97:E97),0))</f>
        <v>2037.14285714286</v>
      </c>
      <c r="F112" s="65" t="n">
        <f aca="false">Assumptions!$E$85*(F18*Assumptions!$D$85*IF(Assumptions!F$191=2027,1+Assumptions!$F$175,1)/14+IF(Assumptions!F$211=1,SUM(E97:F97),0))</f>
        <v>2037.14285714286</v>
      </c>
      <c r="G112" s="65" t="n">
        <f aca="false">Assumptions!$E$85*(G18*Assumptions!$D$85*IF(Assumptions!G$191=2027,1+Assumptions!$F$175,1)/14+IF(Assumptions!G$211=1,SUM(E97:G97),0))</f>
        <v>2037.14285714286</v>
      </c>
      <c r="H112" s="65" t="n">
        <f aca="false">Assumptions!$E$85*(H18*Assumptions!$D$85*IF(Assumptions!H$191=2027,1+Assumptions!$F$175,1)/14+IF(Assumptions!H$211=1,SUM(E97:H97),0))</f>
        <v>2037.14285714286</v>
      </c>
      <c r="I112" s="65" t="n">
        <f aca="false">Assumptions!$E$85*(I18*Assumptions!$D$85*IF(Assumptions!I$191=2027,1+Assumptions!$F$175,1)/14+IF(Assumptions!I$211=1,SUM(E97:I97),0))</f>
        <v>2037.14285714286</v>
      </c>
      <c r="J112" s="65" t="n">
        <f aca="false">Assumptions!$E$85*(J18*Assumptions!$D$85*IF(Assumptions!J$191=2027,1+Assumptions!$F$175,1)/14+IF(Assumptions!J$211=1,SUM(E97:J97),0))</f>
        <v>4074.28571428571</v>
      </c>
      <c r="K112" s="65" t="n">
        <f aca="false">Assumptions!$E$85*(K18*Assumptions!$D$85*IF(Assumptions!K$191=2027,1+Assumptions!$F$175,1)/14+IF(Assumptions!K$211=1,SUM(F97:K97),0))</f>
        <v>2037.14285714286</v>
      </c>
      <c r="L112" s="65" t="n">
        <f aca="false">Assumptions!$E$85*(L18*Assumptions!$D$85*IF(Assumptions!L$191=2027,1+Assumptions!$F$175,1)/14+IF(Assumptions!L$211=1,SUM(G97:L97),0))</f>
        <v>2037.14285714286</v>
      </c>
      <c r="M112" s="65" t="n">
        <f aca="false">Assumptions!$E$85*(M18*Assumptions!$D$85*IF(Assumptions!M$191=2027,1+Assumptions!$F$175,1)/14+IF(Assumptions!M$211=1,SUM(H97:M97),0))</f>
        <v>1994.70238095238</v>
      </c>
      <c r="N112" s="65" t="n">
        <f aca="false">Assumptions!$E$85*(N18*Assumptions!$D$85*IF(Assumptions!N$191=2027,1+Assumptions!$F$175,1)/14+IF(Assumptions!N$211=1,SUM(I97:N97),0))</f>
        <v>1953.14608134921</v>
      </c>
      <c r="O112" s="65" t="n">
        <f aca="false">Assumptions!$E$85*(O18*Assumptions!$D$85*IF(Assumptions!O$191=2027,1+Assumptions!$F$175,1)/14+IF(Assumptions!O$211=1,SUM(J97:O97),0))</f>
        <v>1954.89601417824</v>
      </c>
      <c r="P112" s="65" t="n">
        <f aca="false">Assumptions!$E$85*(P18*Assumptions!$D$85*IF(Assumptions!P$191=2027,1+Assumptions!$F$175,1)/14+IF(Assumptions!P$211=1,SUM(K97:P97),0))</f>
        <v>3944.51789752797</v>
      </c>
      <c r="Q112" s="65" t="n">
        <f aca="false">Assumptions!$E$85*(Q18*Assumptions!$D$85*IF(Assumptions!Q$191=2027,1+Assumptions!$F$175,1)/14+IF(Assumptions!Q$211=1,SUM(L97:Q97),0))</f>
        <v>2024.1200847651</v>
      </c>
      <c r="R112" s="65" t="n">
        <f aca="false">Assumptions!$E$85*(R18*Assumptions!$D$85*IF(Assumptions!R$191=2027,1+Assumptions!$F$175,1)/14+IF(Assumptions!R$211=1,SUM(M97:R97),0))</f>
        <v>2024.10336163821</v>
      </c>
      <c r="S112" s="65" t="n">
        <f aca="false">Assumptions!$E$85*(S18*Assumptions!$D$85*IF(Assumptions!S$191=2027,1+Assumptions!$F$175,1)/14+IF(Assumptions!S$211=1,SUM(N97:S97),0))</f>
        <v>2024.10486867612</v>
      </c>
      <c r="T112" s="65" t="n">
        <f aca="false">Assumptions!$E$85*(T18*Assumptions!$D$85*IF(Assumptions!T$191=2027,1+Assumptions!$F$175,1)/14+IF(Assumptions!T$211=1,SUM(O97:T97),0))</f>
        <v>2024.10518567797</v>
      </c>
      <c r="U112" s="65" t="n">
        <f aca="false">Assumptions!$E$85*(U18*Assumptions!$D$85*IF(Assumptions!U$191=2027,1+Assumptions!$F$175,1)/14+IF(Assumptions!U$211=1,SUM(P97:U97),0))</f>
        <v>2024.10514767715</v>
      </c>
      <c r="V112" s="65" t="n">
        <f aca="false">Assumptions!$E$85*(V18*Assumptions!$D$85*IF(Assumptions!V$191=2027,1+Assumptions!$F$175,1)/14+IF(Assumptions!V$211=1,SUM(Q97:V97),0))</f>
        <v>4048.21244024782</v>
      </c>
      <c r="W112" s="65" t="n">
        <f aca="false">Assumptions!$E$85*(W18*Assumptions!$D$85*IF(Assumptions!W$191=2027,1+Assumptions!$F$175,1)/14+IF(Assumptions!W$211=1,SUM(R97:W97),0))</f>
        <v>2024.1051427774</v>
      </c>
      <c r="X112" s="65" t="n">
        <f aca="false">Assumptions!$E$85*(X18*Assumptions!$D$85*IF(Assumptions!X$191=2027,1+Assumptions!$F$175,1)/14+IF(Assumptions!X$211=1,SUM(S97:X97),0))</f>
        <v>2024.10514287948</v>
      </c>
      <c r="Y112" s="65" t="n">
        <f aca="false">Assumptions!$E$85*(Y18*Assumptions!$D$85*IF(Assumptions!Y$191=2027,1+Assumptions!$F$175,1)/14+IF(Assumptions!Y$211=1,SUM(T97:Y97),0))</f>
        <v>2024.10514285834</v>
      </c>
      <c r="Z112" s="65" t="n">
        <f aca="false">Assumptions!$E$85*(Z18*Assumptions!$D$85*IF(Assumptions!Z$191=2027,1+Assumptions!$F$175,1)/14+IF(Assumptions!Z$211=1,SUM(U97:Z97),0))</f>
        <v>2024.10514285665</v>
      </c>
      <c r="AA112" s="65" t="n">
        <f aca="false">Assumptions!$E$85*(AA18*Assumptions!$D$85*IF(Assumptions!AA$191=2027,1+Assumptions!$F$175,1)/14+IF(Assumptions!AA$211=1,SUM(V97:AA97),0))</f>
        <v>2024.10514285713</v>
      </c>
      <c r="AB112" s="65" t="n">
        <f aca="false">Assumptions!$E$85*(AB18*Assumptions!$D$85*IF(Assumptions!AB$191=2027,1+Assumptions!$F$175,1)/14+IF(Assumptions!AB$211=1,SUM(W97:AB97),0))</f>
        <v>4048.21028570485</v>
      </c>
    </row>
    <row r="113" customFormat="false" ht="15" hidden="false" customHeight="false" outlineLevel="0" collapsed="false">
      <c r="A113" s="28" t="s">
        <v>1163</v>
      </c>
      <c r="B113" s="63"/>
      <c r="C113" s="64" t="n">
        <f aca="false">SUM(E113:P113)</f>
        <v>68066.9443766276</v>
      </c>
      <c r="D113" s="64" t="n">
        <f aca="false">SUM(Q113:AB113)</f>
        <v>88609.1813701753</v>
      </c>
      <c r="E113" s="65" t="n">
        <f aca="false">Assumptions!$E$86*(E19*Assumptions!$D$86*IF(Assumptions!E$191=2027,1+Assumptions!$F$175,1)/14+IF(Assumptions!E$211=1,SUM(E98:E98),0))</f>
        <v>4628.57142857143</v>
      </c>
      <c r="F113" s="65" t="n">
        <f aca="false">Assumptions!$E$86*(F19*Assumptions!$D$86*IF(Assumptions!F$191=2027,1+Assumptions!$F$175,1)/14+IF(Assumptions!F$211=1,SUM(E98:F98),0))</f>
        <v>4628.57142857143</v>
      </c>
      <c r="G113" s="65" t="n">
        <f aca="false">Assumptions!$E$86*(G19*Assumptions!$D$86*IF(Assumptions!G$191=2027,1+Assumptions!$F$175,1)/14+IF(Assumptions!G$211=1,SUM(E98:G98),0))</f>
        <v>4628.57142857143</v>
      </c>
      <c r="H113" s="65" t="n">
        <f aca="false">Assumptions!$E$86*(H19*Assumptions!$D$86*IF(Assumptions!H$191=2027,1+Assumptions!$F$175,1)/14+IF(Assumptions!H$211=1,SUM(E98:H98),0))</f>
        <v>5207.14285714286</v>
      </c>
      <c r="I113" s="65" t="n">
        <f aca="false">Assumptions!$E$86*(I19*Assumptions!$D$86*IF(Assumptions!I$191=2027,1+Assumptions!$F$175,1)/14+IF(Assumptions!I$211=1,SUM(E98:I98),0))</f>
        <v>5207.14285714286</v>
      </c>
      <c r="J113" s="65" t="n">
        <f aca="false">Assumptions!$E$86*(J19*Assumptions!$D$86*IF(Assumptions!J$191=2027,1+Assumptions!$F$175,1)/14+IF(Assumptions!J$211=1,SUM(E98:J98),0))</f>
        <v>10125</v>
      </c>
      <c r="K113" s="65" t="n">
        <f aca="false">Assumptions!$E$86*(K19*Assumptions!$D$86*IF(Assumptions!K$191=2027,1+Assumptions!$F$175,1)/14+IF(Assumptions!K$211=1,SUM(F98:K98),0))</f>
        <v>5207.14285714286</v>
      </c>
      <c r="L113" s="65" t="n">
        <f aca="false">Assumptions!$E$86*(L19*Assumptions!$D$86*IF(Assumptions!L$191=2027,1+Assumptions!$F$175,1)/14+IF(Assumptions!L$211=1,SUM(G98:L98),0))</f>
        <v>4628.57142857143</v>
      </c>
      <c r="M113" s="65" t="n">
        <f aca="false">Assumptions!$E$86*(M19*Assumptions!$D$86*IF(Assumptions!M$191=2027,1+Assumptions!$F$175,1)/14+IF(Assumptions!M$211=1,SUM(H98:M98),0))</f>
        <v>4532.14285714286</v>
      </c>
      <c r="N113" s="65" t="n">
        <f aca="false">Assumptions!$E$86*(N19*Assumptions!$D$86*IF(Assumptions!N$191=2027,1+Assumptions!$F$175,1)/14+IF(Assumptions!N$211=1,SUM(I98:N98),0))</f>
        <v>4437.72321428572</v>
      </c>
      <c r="O113" s="65" t="n">
        <f aca="false">Assumptions!$E$86*(O19*Assumptions!$D$86*IF(Assumptions!O$191=2027,1+Assumptions!$F$175,1)/14+IF(Assumptions!O$211=1,SUM(J98:O98),0))</f>
        <v>5020.27064732143</v>
      </c>
      <c r="P113" s="65" t="n">
        <f aca="false">Assumptions!$E$86*(P19*Assumptions!$D$86*IF(Assumptions!P$191=2027,1+Assumptions!$F$175,1)/14+IF(Assumptions!P$211=1,SUM(K98:P98),0))</f>
        <v>9816.09337216332</v>
      </c>
      <c r="Q113" s="65" t="n">
        <f aca="false">Assumptions!$E$86*(Q19*Assumptions!$D$86*IF(Assumptions!Q$191=2027,1+Assumptions!$F$175,1)/14+IF(Assumptions!Q$211=1,SUM(L98:Q98),0))</f>
        <v>6370.75581877572</v>
      </c>
      <c r="R113" s="65" t="n">
        <f aca="false">Assumptions!$E$86*(R19*Assumptions!$D$86*IF(Assumptions!R$191=2027,1+Assumptions!$F$175,1)/14+IF(Assumptions!R$211=1,SUM(M98:R98),0))</f>
        <v>6346.28132505076</v>
      </c>
      <c r="S113" s="65" t="n">
        <f aca="false">Assumptions!$E$86*(S19*Assumptions!$D$86*IF(Assumptions!S$191=2027,1+Assumptions!$F$175,1)/14+IF(Assumptions!S$211=1,SUM(N98:S98),0))</f>
        <v>6322.097440456</v>
      </c>
      <c r="T113" s="65" t="n">
        <f aca="false">Assumptions!$E$86*(T19*Assumptions!$D$86*IF(Assumptions!T$191=2027,1+Assumptions!$F$175,1)/14+IF(Assumptions!T$211=1,SUM(O98:T98),0))</f>
        <v>6323.11115667099</v>
      </c>
      <c r="U113" s="65" t="n">
        <f aca="false">Assumptions!$E$86*(U19*Assumptions!$D$86*IF(Assumptions!U$191=2027,1+Assumptions!$F$175,1)/14+IF(Assumptions!U$211=1,SUM(P98:U98),0))</f>
        <v>6323.59386851223</v>
      </c>
      <c r="V113" s="65" t="n">
        <f aca="false">Assumptions!$E$86*(V19*Assumptions!$D$86*IF(Assumptions!V$191=2027,1+Assumptions!$F$175,1)/14+IF(Assumptions!V$211=1,SUM(Q98:V98),0))</f>
        <v>12658.46307666</v>
      </c>
      <c r="W113" s="65" t="n">
        <f aca="false">Assumptions!$E$86*(W19*Assumptions!$D$86*IF(Assumptions!W$191=2027,1+Assumptions!$F$175,1)/14+IF(Assumptions!W$211=1,SUM(R98:W98),0))</f>
        <v>6323.55328592238</v>
      </c>
      <c r="X113" s="65" t="n">
        <f aca="false">Assumptions!$E$86*(X19*Assumptions!$D$86*IF(Assumptions!X$191=2027,1+Assumptions!$F$175,1)/14+IF(Assumptions!X$211=1,SUM(S98:X98),0))</f>
        <v>6323.554131393</v>
      </c>
      <c r="Y113" s="65" t="n">
        <f aca="false">Assumptions!$E$86*(Y19*Assumptions!$D$86*IF(Assumptions!Y$191=2027,1+Assumptions!$F$175,1)/14+IF(Assumptions!Y$211=1,SUM(T98:Y98),0))</f>
        <v>6323.55430975831</v>
      </c>
      <c r="Z113" s="65" t="n">
        <f aca="false">Assumptions!$E$86*(Z19*Assumptions!$D$86*IF(Assumptions!Z$191=2027,1+Assumptions!$F$175,1)/14+IF(Assumptions!Z$211=1,SUM(U98:Z98),0))</f>
        <v>6323.5542884284</v>
      </c>
      <c r="AA113" s="65" t="n">
        <f aca="false">Assumptions!$E$86*(AA19*Assumptions!$D$86*IF(Assumptions!AA$191=2027,1+Assumptions!$F$175,1)/14+IF(Assumptions!AA$211=1,SUM(V98:AA98),0))</f>
        <v>6323.55428515683</v>
      </c>
      <c r="AB113" s="65" t="n">
        <f aca="false">Assumptions!$E$86*(AB19*Assumptions!$D$86*IF(Assumptions!AB$191=2027,1+Assumptions!$F$175,1)/14+IF(Assumptions!AB$211=1,SUM(W98:AB98),0))</f>
        <v>12647.1083833907</v>
      </c>
    </row>
    <row r="114" customFormat="false" ht="15" hidden="false" customHeight="false" outlineLevel="0" collapsed="false">
      <c r="A114" s="28" t="s">
        <v>1164</v>
      </c>
      <c r="B114" s="63"/>
      <c r="C114" s="64" t="n">
        <f aca="false">SUM(E114:P114)</f>
        <v>19360.7576949508</v>
      </c>
      <c r="D114" s="64" t="n">
        <f aca="false">SUM(Q114:AB114)</f>
        <v>22273.343139322</v>
      </c>
      <c r="E114" s="65" t="n">
        <f aca="false">Assumptions!$E$87*(E20*Assumptions!$D$87*IF(Assumptions!E$191=2027,1+Assumptions!$F$175,1)/14+IF(Assumptions!E$211=1,SUM(E99:E99),0))</f>
        <v>1200</v>
      </c>
      <c r="F114" s="65" t="n">
        <f aca="false">Assumptions!$E$87*(F20*Assumptions!$D$87*IF(Assumptions!F$191=2027,1+Assumptions!$F$175,1)/14+IF(Assumptions!F$211=1,SUM(E99:F99),0))</f>
        <v>1200</v>
      </c>
      <c r="G114" s="65" t="n">
        <f aca="false">Assumptions!$E$87*(G20*Assumptions!$D$87*IF(Assumptions!G$191=2027,1+Assumptions!$F$175,1)/14+IF(Assumptions!G$211=1,SUM(E99:G99),0))</f>
        <v>1440</v>
      </c>
      <c r="H114" s="65" t="n">
        <f aca="false">Assumptions!$E$87*(H20*Assumptions!$D$87*IF(Assumptions!H$191=2027,1+Assumptions!$F$175,1)/14+IF(Assumptions!H$211=1,SUM(E99:H99),0))</f>
        <v>1440</v>
      </c>
      <c r="I114" s="65" t="n">
        <f aca="false">Assumptions!$E$87*(I20*Assumptions!$D$87*IF(Assumptions!I$191=2027,1+Assumptions!$F$175,1)/14+IF(Assumptions!I$211=1,SUM(E99:I99),0))</f>
        <v>1440</v>
      </c>
      <c r="J114" s="65" t="n">
        <f aca="false">Assumptions!$E$87*(J20*Assumptions!$D$87*IF(Assumptions!J$191=2027,1+Assumptions!$F$175,1)/14+IF(Assumptions!J$211=1,SUM(E99:J99),0))</f>
        <v>2800</v>
      </c>
      <c r="K114" s="65" t="n">
        <f aca="false">Assumptions!$E$87*(K20*Assumptions!$D$87*IF(Assumptions!K$191=2027,1+Assumptions!$F$175,1)/14+IF(Assumptions!K$211=1,SUM(F99:K99),0))</f>
        <v>1440</v>
      </c>
      <c r="L114" s="65" t="n">
        <f aca="false">Assumptions!$E$87*(L20*Assumptions!$D$87*IF(Assumptions!L$191=2027,1+Assumptions!$F$175,1)/14+IF(Assumptions!L$211=1,SUM(G99:L99),0))</f>
        <v>1440</v>
      </c>
      <c r="M114" s="65" t="n">
        <f aca="false">Assumptions!$E$87*(M20*Assumptions!$D$87*IF(Assumptions!M$191=2027,1+Assumptions!$F$175,1)/14+IF(Assumptions!M$211=1,SUM(H99:M99),0))</f>
        <v>1410</v>
      </c>
      <c r="N114" s="65" t="n">
        <f aca="false">Assumptions!$E$87*(N20*Assumptions!$D$87*IF(Assumptions!N$191=2027,1+Assumptions!$F$175,1)/14+IF(Assumptions!N$211=1,SUM(I99:N99),0))</f>
        <v>1380.625</v>
      </c>
      <c r="O114" s="65" t="n">
        <f aca="false">Assumptions!$E$87*(O20*Assumptions!$D$87*IF(Assumptions!O$191=2027,1+Assumptions!$F$175,1)/14+IF(Assumptions!O$211=1,SUM(J99:O99),0))</f>
        <v>1381.86197916667</v>
      </c>
      <c r="P114" s="65" t="n">
        <f aca="false">Assumptions!$E$87*(P20*Assumptions!$D$87*IF(Assumptions!P$191=2027,1+Assumptions!$F$175,1)/14+IF(Assumptions!P$211=1,SUM(K99:P99),0))</f>
        <v>2788.27071578414</v>
      </c>
      <c r="Q114" s="65" t="n">
        <f aca="false">Assumptions!$E$87*(Q20*Assumptions!$D$87*IF(Assumptions!Q$191=2027,1+Assumptions!$F$175,1)/14+IF(Assumptions!Q$211=1,SUM(L99:Q99),0))</f>
        <v>1430.79456202189</v>
      </c>
      <c r="R114" s="65" t="n">
        <f aca="false">Assumptions!$E$87*(R20*Assumptions!$D$87*IF(Assumptions!R$191=2027,1+Assumptions!$F$175,1)/14+IF(Assumptions!R$211=1,SUM(M99:R99),0))</f>
        <v>1430.78274090555</v>
      </c>
      <c r="S114" s="65" t="n">
        <f aca="false">Assumptions!$E$87*(S20*Assumptions!$D$87*IF(Assumptions!S$191=2027,1+Assumptions!$F$175,1)/14+IF(Assumptions!S$211=1,SUM(N99:S99),0))</f>
        <v>1430.78380618901</v>
      </c>
      <c r="T114" s="65" t="n">
        <f aca="false">Assumptions!$E$87*(T20*Assumptions!$D$87*IF(Assumptions!T$191=2027,1+Assumptions!$F$175,1)/14+IF(Assumptions!T$211=1,SUM(O99:T99),0))</f>
        <v>1430.78403026886</v>
      </c>
      <c r="U114" s="65" t="n">
        <f aca="false">Assumptions!$E$87*(U20*Assumptions!$D$87*IF(Assumptions!U$191=2027,1+Assumptions!$F$175,1)/14+IF(Assumptions!U$211=1,SUM(P99:U99),0))</f>
        <v>1679.18400340713</v>
      </c>
      <c r="V114" s="65" t="n">
        <f aca="false">Assumptions!$E$87*(V20*Assumptions!$D$87*IF(Assumptions!V$191=2027,1+Assumptions!$F$175,1)/14+IF(Assumptions!V$211=1,SUM(Q99:V99),0))</f>
        <v>3186.73202298023</v>
      </c>
      <c r="W114" s="65" t="n">
        <f aca="false">Assumptions!$E$87*(W20*Assumptions!$D$87*IF(Assumptions!W$191=2027,1+Assumptions!$F$175,1)/14+IF(Assumptions!W$211=1,SUM(R99:W99),0))</f>
        <v>1668.94181244363</v>
      </c>
      <c r="X114" s="65" t="n">
        <f aca="false">Assumptions!$E$87*(X20*Assumptions!$D$87*IF(Assumptions!X$191=2027,1+Assumptions!$F$175,1)/14+IF(Assumptions!X$211=1,SUM(S99:X99),0))</f>
        <v>1669.15519142204</v>
      </c>
      <c r="Y114" s="65" t="n">
        <f aca="false">Assumptions!$E$87*(Y20*Assumptions!$D$87*IF(Assumptions!Y$191=2027,1+Assumptions!$F$175,1)/14+IF(Assumptions!Y$211=1,SUM(T99:Y99),0))</f>
        <v>1669.25631241946</v>
      </c>
      <c r="Z114" s="65" t="n">
        <f aca="false">Assumptions!$E$87*(Z20*Assumptions!$D$87*IF(Assumptions!Z$191=2027,1+Assumptions!$F$175,1)/14+IF(Assumptions!Z$211=1,SUM(U99:Z99),0))</f>
        <v>1669.24976033663</v>
      </c>
      <c r="AA114" s="65" t="n">
        <f aca="false">Assumptions!$E$87*(AA20*Assumptions!$D$87*IF(Assumptions!AA$191=2027,1+Assumptions!$F$175,1)/14+IF(Assumptions!AA$211=1,SUM(V99:AA99),0))</f>
        <v>1669.24779015091</v>
      </c>
      <c r="AB114" s="65" t="n">
        <f aca="false">Assumptions!$E$87*(AB20*Assumptions!$D$87*IF(Assumptions!AB$191=2027,1+Assumptions!$F$175,1)/14+IF(Assumptions!AB$211=1,SUM(W99:AB99),0))</f>
        <v>3338.43110677665</v>
      </c>
    </row>
    <row r="115" customFormat="false" ht="15" hidden="false" customHeight="false" outlineLevel="0" collapsed="false">
      <c r="A115" s="28" t="s">
        <v>1165</v>
      </c>
      <c r="B115" s="63"/>
      <c r="C115" s="64" t="n">
        <f aca="false">SUM(E115:P115)</f>
        <v>56853.3654499512</v>
      </c>
      <c r="D115" s="64" t="n">
        <f aca="false">SUM(Q115:AB115)</f>
        <v>66911.7418931492</v>
      </c>
      <c r="E115" s="65" t="n">
        <f aca="false">Assumptions!$E$88*(E21*Assumptions!$D$88*IF(Assumptions!E$191=2027,1+Assumptions!$F$175,1)/14+IF(Assumptions!E$211=1,SUM(E100:E100),0))</f>
        <v>3548.57142857143</v>
      </c>
      <c r="F115" s="65" t="n">
        <f aca="false">Assumptions!$E$88*(F21*Assumptions!$D$88*IF(Assumptions!F$191=2027,1+Assumptions!$F$175,1)/14+IF(Assumptions!F$211=1,SUM(E100:F100),0))</f>
        <v>4140</v>
      </c>
      <c r="G115" s="65" t="n">
        <f aca="false">Assumptions!$E$88*(G21*Assumptions!$D$88*IF(Assumptions!G$191=2027,1+Assumptions!$F$175,1)/14+IF(Assumptions!G$211=1,SUM(E100:G100),0))</f>
        <v>4140</v>
      </c>
      <c r="H115" s="65" t="n">
        <f aca="false">Assumptions!$E$88*(H21*Assumptions!$D$88*IF(Assumptions!H$191=2027,1+Assumptions!$F$175,1)/14+IF(Assumptions!H$211=1,SUM(E100:H100),0))</f>
        <v>4140</v>
      </c>
      <c r="I115" s="65" t="n">
        <f aca="false">Assumptions!$E$88*(I21*Assumptions!$D$88*IF(Assumptions!I$191=2027,1+Assumptions!$F$175,1)/14+IF(Assumptions!I$211=1,SUM(E100:I100),0))</f>
        <v>4140</v>
      </c>
      <c r="J115" s="65" t="n">
        <f aca="false">Assumptions!$E$88*(J21*Assumptions!$D$88*IF(Assumptions!J$191=2027,1+Assumptions!$F$175,1)/14+IF(Assumptions!J$211=1,SUM(E100:J100),0))</f>
        <v>8181.42857142857</v>
      </c>
      <c r="K115" s="65" t="n">
        <f aca="false">Assumptions!$E$88*(K21*Assumptions!$D$88*IF(Assumptions!K$191=2027,1+Assumptions!$F$175,1)/14+IF(Assumptions!K$211=1,SUM(F100:K100),0))</f>
        <v>4140</v>
      </c>
      <c r="L115" s="65" t="n">
        <f aca="false">Assumptions!$E$88*(L21*Assumptions!$D$88*IF(Assumptions!L$191=2027,1+Assumptions!$F$175,1)/14+IF(Assumptions!L$211=1,SUM(G100:L100),0))</f>
        <v>4140</v>
      </c>
      <c r="M115" s="65" t="n">
        <f aca="false">Assumptions!$E$88*(M21*Assumptions!$D$88*IF(Assumptions!M$191=2027,1+Assumptions!$F$175,1)/14+IF(Assumptions!M$211=1,SUM(H100:M100),0))</f>
        <v>4088.25</v>
      </c>
      <c r="N115" s="65" t="n">
        <f aca="false">Assumptions!$E$88*(N21*Assumptions!$D$88*IF(Assumptions!N$191=2027,1+Assumptions!$F$175,1)/14+IF(Assumptions!N$211=1,SUM(I100:N100),0))</f>
        <v>4037.146875</v>
      </c>
      <c r="O115" s="65" t="n">
        <f aca="false">Assumptions!$E$88*(O21*Assumptions!$D$88*IF(Assumptions!O$191=2027,1+Assumptions!$F$175,1)/14+IF(Assumptions!O$211=1,SUM(J100:O100),0))</f>
        <v>4038.4325390625</v>
      </c>
      <c r="P115" s="65" t="n">
        <f aca="false">Assumptions!$E$88*(P21*Assumptions!$D$88*IF(Assumptions!P$191=2027,1+Assumptions!$F$175,1)/14+IF(Assumptions!P$211=1,SUM(K100:P100),0))</f>
        <v>8119.53603588867</v>
      </c>
      <c r="Q115" s="65" t="n">
        <f aca="false">Assumptions!$E$88*(Q21*Assumptions!$D$88*IF(Assumptions!Q$191=2027,1+Assumptions!$F$175,1)/14+IF(Assumptions!Q$211=1,SUM(L100:Q100),0))</f>
        <v>4792.52607306282</v>
      </c>
      <c r="R115" s="65" t="n">
        <f aca="false">Assumptions!$E$88*(R21*Assumptions!$D$88*IF(Assumptions!R$191=2027,1+Assumptions!$F$175,1)/14+IF(Assumptions!R$211=1,SUM(M100:R100),0))</f>
        <v>4784.86671812365</v>
      </c>
      <c r="S115" s="65" t="n">
        <f aca="false">Assumptions!$E$88*(S21*Assumptions!$D$88*IF(Assumptions!S$191=2027,1+Assumptions!$F$175,1)/14+IF(Assumptions!S$211=1,SUM(N100:S100),0))</f>
        <v>4777.31116153874</v>
      </c>
      <c r="T115" s="65" t="n">
        <f aca="false">Assumptions!$E$88*(T21*Assumptions!$D$88*IF(Assumptions!T$191=2027,1+Assumptions!$F$175,1)/14+IF(Assumptions!T$211=1,SUM(O100:T100),0))</f>
        <v>4777.50134793279</v>
      </c>
      <c r="U115" s="65" t="n">
        <f aca="false">Assumptions!$E$88*(U21*Assumptions!$D$88*IF(Assumptions!U$191=2027,1+Assumptions!$F$175,1)/14+IF(Assumptions!U$211=1,SUM(P100:U100),0))</f>
        <v>4777.59341506018</v>
      </c>
      <c r="V115" s="65" t="n">
        <f aca="false">Assumptions!$E$88*(V21*Assumptions!$D$88*IF(Assumptions!V$191=2027,1+Assumptions!$F$175,1)/14+IF(Assumptions!V$211=1,SUM(Q100:V100),0))</f>
        <v>9558.82132065938</v>
      </c>
      <c r="W115" s="65" t="n">
        <f aca="false">Assumptions!$E$88*(W21*Assumptions!$D$88*IF(Assumptions!W$191=2027,1+Assumptions!$F$175,1)/14+IF(Assumptions!W$211=1,SUM(R100:W100),0))</f>
        <v>4777.58878015418</v>
      </c>
      <c r="X115" s="65" t="n">
        <f aca="false">Assumptions!$E$88*(X21*Assumptions!$D$88*IF(Assumptions!X$191=2027,1+Assumptions!$F$175,1)/14+IF(Assumptions!X$211=1,SUM(S100:X100),0))</f>
        <v>4777.5888380905</v>
      </c>
      <c r="Y115" s="65" t="n">
        <f aca="false">Assumptions!$E$88*(Y21*Assumptions!$D$88*IF(Assumptions!Y$191=2027,1+Assumptions!$F$175,1)/14+IF(Assumptions!Y$211=1,SUM(T100:Y100),0))</f>
        <v>4777.58885120051</v>
      </c>
      <c r="Z115" s="65" t="n">
        <f aca="false">Assumptions!$E$88*(Z21*Assumptions!$D$88*IF(Assumptions!Z$191=2027,1+Assumptions!$F$175,1)/14+IF(Assumptions!Z$211=1,SUM(U100:Z100),0))</f>
        <v>4777.58885031243</v>
      </c>
      <c r="AA115" s="65" t="n">
        <f aca="false">Assumptions!$E$88*(AA21*Assumptions!$D$88*IF(Assumptions!AA$191=2027,1+Assumptions!$F$175,1)/14+IF(Assumptions!AA$211=1,SUM(V100:AA100),0))</f>
        <v>4777.58885015966</v>
      </c>
      <c r="AB115" s="65" t="n">
        <f aca="false">Assumptions!$E$88*(AB21*Assumptions!$D$88*IF(Assumptions!AB$191=2027,1+Assumptions!$F$175,1)/14+IF(Assumptions!AB$211=1,SUM(W100:AB100),0))</f>
        <v>9555.17768685433</v>
      </c>
    </row>
    <row r="116" customFormat="false" ht="15" hidden="false" customHeight="false" outlineLevel="0" collapsed="false">
      <c r="A116" s="28" t="s">
        <v>1166</v>
      </c>
      <c r="B116" s="63"/>
      <c r="C116" s="64" t="n">
        <f aca="false">SUM(E116:P116)</f>
        <v>69032.5447891852</v>
      </c>
      <c r="D116" s="64" t="n">
        <f aca="false">SUM(Q116:AB116)</f>
        <v>70781.7449975043</v>
      </c>
      <c r="E116" s="65" t="n">
        <f aca="false">Assumptions!$E$89*(E22*Assumptions!$D$89*IF(Assumptions!E$191=2027,1+Assumptions!$F$175,1)/14+IF(Assumptions!E$211=1,SUM(E101:E101),0))</f>
        <v>4950</v>
      </c>
      <c r="F116" s="65" t="n">
        <f aca="false">Assumptions!$E$89*(F22*Assumptions!$D$89*IF(Assumptions!F$191=2027,1+Assumptions!$F$175,1)/14+IF(Assumptions!F$211=1,SUM(E101:F101),0))</f>
        <v>4950</v>
      </c>
      <c r="G116" s="65" t="n">
        <f aca="false">Assumptions!$E$89*(G22*Assumptions!$D$89*IF(Assumptions!G$191=2027,1+Assumptions!$F$175,1)/14+IF(Assumptions!G$211=1,SUM(E101:G101),0))</f>
        <v>4950</v>
      </c>
      <c r="H116" s="65" t="n">
        <f aca="false">Assumptions!$E$89*(H22*Assumptions!$D$89*IF(Assumptions!H$191=2027,1+Assumptions!$F$175,1)/14+IF(Assumptions!H$211=1,SUM(E101:H101),0))</f>
        <v>4950</v>
      </c>
      <c r="I116" s="65" t="n">
        <f aca="false">Assumptions!$E$89*(I22*Assumptions!$D$89*IF(Assumptions!I$191=2027,1+Assumptions!$F$175,1)/14+IF(Assumptions!I$211=1,SUM(E101:I101),0))</f>
        <v>4950</v>
      </c>
      <c r="J116" s="65" t="n">
        <f aca="false">Assumptions!$E$89*(J22*Assumptions!$D$89*IF(Assumptions!J$191=2027,1+Assumptions!$F$175,1)/14+IF(Assumptions!J$211=1,SUM(E101:J101),0))</f>
        <v>9900</v>
      </c>
      <c r="K116" s="65" t="n">
        <f aca="false">Assumptions!$E$89*(K22*Assumptions!$D$89*IF(Assumptions!K$191=2027,1+Assumptions!$F$175,1)/14+IF(Assumptions!K$211=1,SUM(F101:K101),0))</f>
        <v>4950</v>
      </c>
      <c r="L116" s="65" t="n">
        <f aca="false">Assumptions!$E$89*(L22*Assumptions!$D$89*IF(Assumptions!L$191=2027,1+Assumptions!$F$175,1)/14+IF(Assumptions!L$211=1,SUM(G101:L101),0))</f>
        <v>4950</v>
      </c>
      <c r="M116" s="65" t="n">
        <f aca="false">Assumptions!$E$89*(M22*Assumptions!$D$89*IF(Assumptions!M$191=2027,1+Assumptions!$F$175,1)/14+IF(Assumptions!M$211=1,SUM(H101:M101),0))</f>
        <v>4917</v>
      </c>
      <c r="N116" s="65" t="n">
        <f aca="false">Assumptions!$E$89*(N22*Assumptions!$D$89*IF(Assumptions!N$191=2027,1+Assumptions!$F$175,1)/14+IF(Assumptions!N$211=1,SUM(I101:N101),0))</f>
        <v>4884.22</v>
      </c>
      <c r="O116" s="65" t="n">
        <f aca="false">Assumptions!$E$89*(O22*Assumptions!$D$89*IF(Assumptions!O$191=2027,1+Assumptions!$F$175,1)/14+IF(Assumptions!O$211=1,SUM(J101:O101),0))</f>
        <v>4884.65853333333</v>
      </c>
      <c r="P116" s="65" t="n">
        <f aca="false">Assumptions!$E$89*(P22*Assumptions!$D$89*IF(Assumptions!P$191=2027,1+Assumptions!$F$175,1)/14+IF(Assumptions!P$211=1,SUM(K101:P101),0))</f>
        <v>9796.66625585185</v>
      </c>
      <c r="Q116" s="65" t="n">
        <f aca="false">Assumptions!$E$89*(Q22*Assumptions!$D$89*IF(Assumptions!Q$191=2027,1+Assumptions!$F$175,1)/14+IF(Assumptions!Q$211=1,SUM(L101:Q101),0))</f>
        <v>5055.84022453253</v>
      </c>
      <c r="R116" s="65" t="n">
        <f aca="false">Assumptions!$E$89*(R22*Assumptions!$D$89*IF(Assumptions!R$191=2027,1+Assumptions!$F$175,1)/14+IF(Assumptions!R$211=1,SUM(M101:R101),0))</f>
        <v>5055.83876691565</v>
      </c>
      <c r="S116" s="65" t="n">
        <f aca="false">Assumptions!$E$89*(S22*Assumptions!$D$89*IF(Assumptions!S$191=2027,1+Assumptions!$F$175,1)/14+IF(Assumptions!S$211=1,SUM(N101:S101),0))</f>
        <v>5055.83880672368</v>
      </c>
      <c r="T116" s="65" t="n">
        <f aca="false">Assumptions!$E$89*(T22*Assumptions!$D$89*IF(Assumptions!T$191=2027,1+Assumptions!$F$175,1)/14+IF(Assumptions!T$211=1,SUM(O101:T101),0))</f>
        <v>5055.83881617574</v>
      </c>
      <c r="U116" s="65" t="n">
        <f aca="false">Assumptions!$E$89*(U22*Assumptions!$D$89*IF(Assumptions!U$191=2027,1+Assumptions!$F$175,1)/14+IF(Assumptions!U$211=1,SUM(P101:U101),0))</f>
        <v>5055.83881584734</v>
      </c>
      <c r="V116" s="65" t="n">
        <f aca="false">Assumptions!$E$89*(V22*Assumptions!$D$89*IF(Assumptions!V$191=2027,1+Assumptions!$F$175,1)/14+IF(Assumptions!V$211=1,SUM(Q101:V101),0))</f>
        <v>10111.6778567834</v>
      </c>
      <c r="W116" s="65" t="n">
        <f aca="false">Assumptions!$E$89*(W22*Assumptions!$D$89*IF(Assumptions!W$191=2027,1+Assumptions!$F$175,1)/14+IF(Assumptions!W$211=1,SUM(R101:W101),0))</f>
        <v>5055.83881578911</v>
      </c>
      <c r="X116" s="65" t="n">
        <f aca="false">Assumptions!$E$89*(X22*Assumptions!$D$89*IF(Assumptions!X$191=2027,1+Assumptions!$F$175,1)/14+IF(Assumptions!X$211=1,SUM(S101:X101),0))</f>
        <v>5055.8388157895</v>
      </c>
      <c r="Y116" s="65" t="n">
        <f aca="false">Assumptions!$E$89*(Y22*Assumptions!$D$89*IF(Assumptions!Y$191=2027,1+Assumptions!$F$175,1)/14+IF(Assumptions!Y$211=1,SUM(T101:Y101),0))</f>
        <v>5055.83881578948</v>
      </c>
      <c r="Z116" s="65" t="n">
        <f aca="false">Assumptions!$E$89*(Z22*Assumptions!$D$89*IF(Assumptions!Z$191=2027,1+Assumptions!$F$175,1)/14+IF(Assumptions!Z$211=1,SUM(U101:Z101),0))</f>
        <v>5055.83881578947</v>
      </c>
      <c r="AA116" s="65" t="n">
        <f aca="false">Assumptions!$E$89*(AA22*Assumptions!$D$89*IF(Assumptions!AA$191=2027,1+Assumptions!$F$175,1)/14+IF(Assumptions!AA$211=1,SUM(V101:AA101),0))</f>
        <v>5055.83881578947</v>
      </c>
      <c r="AB116" s="65" t="n">
        <f aca="false">Assumptions!$E$89*(AB22*Assumptions!$D$89*IF(Assumptions!AB$191=2027,1+Assumptions!$F$175,1)/14+IF(Assumptions!AB$211=1,SUM(W101:AB101),0))</f>
        <v>10111.6776315789</v>
      </c>
    </row>
    <row r="117" customFormat="false" ht="15" hidden="false" customHeight="false" outlineLevel="0" collapsed="false">
      <c r="A117" s="28" t="s">
        <v>1167</v>
      </c>
      <c r="B117" s="63"/>
      <c r="C117" s="64" t="n">
        <f aca="false">SUM(E117:P117)</f>
        <v>27642.9021341975</v>
      </c>
      <c r="D117" s="64" t="n">
        <f aca="false">SUM(Q117:AB117)</f>
        <v>28343.3394470526</v>
      </c>
      <c r="E117" s="65" t="n">
        <f aca="false">Assumptions!$E$90*(E23*Assumptions!$D$90*IF(Assumptions!E$191=2027,1+Assumptions!$F$175,1)/14+IF(Assumptions!E$211=1,SUM(E102:E102),0))</f>
        <v>1982.14285714286</v>
      </c>
      <c r="F117" s="65" t="n">
        <f aca="false">Assumptions!$E$90*(F23*Assumptions!$D$90*IF(Assumptions!F$191=2027,1+Assumptions!$F$175,1)/14+IF(Assumptions!F$211=1,SUM(E102:F102),0))</f>
        <v>1982.14285714286</v>
      </c>
      <c r="G117" s="65" t="n">
        <f aca="false">Assumptions!$E$90*(G23*Assumptions!$D$90*IF(Assumptions!G$191=2027,1+Assumptions!$F$175,1)/14+IF(Assumptions!G$211=1,SUM(E102:G102),0))</f>
        <v>1982.14285714286</v>
      </c>
      <c r="H117" s="65" t="n">
        <f aca="false">Assumptions!$E$90*(H23*Assumptions!$D$90*IF(Assumptions!H$191=2027,1+Assumptions!$F$175,1)/14+IF(Assumptions!H$211=1,SUM(E102:H102),0))</f>
        <v>1982.14285714286</v>
      </c>
      <c r="I117" s="65" t="n">
        <f aca="false">Assumptions!$E$90*(I23*Assumptions!$D$90*IF(Assumptions!I$191=2027,1+Assumptions!$F$175,1)/14+IF(Assumptions!I$211=1,SUM(E102:I102),0))</f>
        <v>1982.14285714286</v>
      </c>
      <c r="J117" s="65" t="n">
        <f aca="false">Assumptions!$E$90*(J23*Assumptions!$D$90*IF(Assumptions!J$191=2027,1+Assumptions!$F$175,1)/14+IF(Assumptions!J$211=1,SUM(E102:J102),0))</f>
        <v>3964.28571428571</v>
      </c>
      <c r="K117" s="65" t="n">
        <f aca="false">Assumptions!$E$90*(K23*Assumptions!$D$90*IF(Assumptions!K$191=2027,1+Assumptions!$F$175,1)/14+IF(Assumptions!K$211=1,SUM(F102:K102),0))</f>
        <v>1982.14285714286</v>
      </c>
      <c r="L117" s="65" t="n">
        <f aca="false">Assumptions!$E$90*(L23*Assumptions!$D$90*IF(Assumptions!L$191=2027,1+Assumptions!$F$175,1)/14+IF(Assumptions!L$211=1,SUM(G102:L102),0))</f>
        <v>1982.14285714286</v>
      </c>
      <c r="M117" s="65" t="n">
        <f aca="false">Assumptions!$E$90*(M23*Assumptions!$D$90*IF(Assumptions!M$191=2027,1+Assumptions!$F$175,1)/14+IF(Assumptions!M$211=1,SUM(H102:M102),0))</f>
        <v>1968.92857142857</v>
      </c>
      <c r="N117" s="65" t="n">
        <f aca="false">Assumptions!$E$90*(N23*Assumptions!$D$90*IF(Assumptions!N$191=2027,1+Assumptions!$F$175,1)/14+IF(Assumptions!N$211=1,SUM(I102:N102),0))</f>
        <v>1955.80238095238</v>
      </c>
      <c r="O117" s="65" t="n">
        <f aca="false">Assumptions!$E$90*(O23*Assumptions!$D$90*IF(Assumptions!O$191=2027,1+Assumptions!$F$175,1)/14+IF(Assumptions!O$211=1,SUM(J102:O102),0))</f>
        <v>1955.97798412698</v>
      </c>
      <c r="P117" s="65" t="n">
        <f aca="false">Assumptions!$E$90*(P23*Assumptions!$D$90*IF(Assumptions!P$191=2027,1+Assumptions!$F$175,1)/14+IF(Assumptions!P$211=1,SUM(K102:P102),0))</f>
        <v>3922.90748340388</v>
      </c>
      <c r="Q117" s="65" t="n">
        <f aca="false">Assumptions!$E$90*(Q23*Assumptions!$D$90*IF(Assumptions!Q$191=2027,1+Assumptions!$F$175,1)/14+IF(Assumptions!Q$211=1,SUM(L102:Q102),0))</f>
        <v>2024.52476523489</v>
      </c>
      <c r="R117" s="65" t="n">
        <f aca="false">Assumptions!$E$90*(R23*Assumptions!$D$90*IF(Assumptions!R$191=2027,1+Assumptions!$F$175,1)/14+IF(Assumptions!R$211=1,SUM(M102:R102),0))</f>
        <v>2024.52418155713</v>
      </c>
      <c r="S117" s="65" t="n">
        <f aca="false">Assumptions!$E$90*(S23*Assumptions!$D$90*IF(Assumptions!S$191=2027,1+Assumptions!$F$175,1)/14+IF(Assumptions!S$211=1,SUM(N102:S102),0))</f>
        <v>2024.52419749758</v>
      </c>
      <c r="T117" s="65" t="n">
        <f aca="false">Assumptions!$E$90*(T23*Assumptions!$D$90*IF(Assumptions!T$191=2027,1+Assumptions!$F$175,1)/14+IF(Assumptions!T$211=1,SUM(O102:T102),0))</f>
        <v>2024.52420128249</v>
      </c>
      <c r="U117" s="65" t="n">
        <f aca="false">Assumptions!$E$90*(U23*Assumptions!$D$90*IF(Assumptions!U$191=2027,1+Assumptions!$F$175,1)/14+IF(Assumptions!U$211=1,SUM(P102:U102),0))</f>
        <v>2024.52420115099</v>
      </c>
      <c r="V117" s="65" t="n">
        <f aca="false">Assumptions!$E$90*(V23*Assumptions!$D$90*IF(Assumptions!V$191=2027,1+Assumptions!$F$175,1)/14+IF(Assumptions!V$211=1,SUM(Q102:V102),0))</f>
        <v>4049.04849243492</v>
      </c>
      <c r="W117" s="65" t="n">
        <f aca="false">Assumptions!$E$90*(W23*Assumptions!$D$90*IF(Assumptions!W$191=2027,1+Assumptions!$F$175,1)/14+IF(Assumptions!W$211=1,SUM(R102:W102),0))</f>
        <v>2024.52420112767</v>
      </c>
      <c r="X117" s="65" t="n">
        <f aca="false">Assumptions!$E$90*(X23*Assumptions!$D$90*IF(Assumptions!X$191=2027,1+Assumptions!$F$175,1)/14+IF(Assumptions!X$211=1,SUM(S102:X102),0))</f>
        <v>2024.52420112783</v>
      </c>
      <c r="Y117" s="65" t="n">
        <f aca="false">Assumptions!$E$90*(Y23*Assumptions!$D$90*IF(Assumptions!Y$191=2027,1+Assumptions!$F$175,1)/14+IF(Assumptions!Y$211=1,SUM(T102:Y102),0))</f>
        <v>2024.52420112782</v>
      </c>
      <c r="Z117" s="65" t="n">
        <f aca="false">Assumptions!$E$90*(Z23*Assumptions!$D$90*IF(Assumptions!Z$191=2027,1+Assumptions!$F$175,1)/14+IF(Assumptions!Z$211=1,SUM(U102:Z102),0))</f>
        <v>2024.52420112782</v>
      </c>
      <c r="AA117" s="65" t="n">
        <f aca="false">Assumptions!$E$90*(AA23*Assumptions!$D$90*IF(Assumptions!AA$191=2027,1+Assumptions!$F$175,1)/14+IF(Assumptions!AA$211=1,SUM(V102:AA102),0))</f>
        <v>2024.52420112782</v>
      </c>
      <c r="AB117" s="65" t="n">
        <f aca="false">Assumptions!$E$90*(AB23*Assumptions!$D$90*IF(Assumptions!AB$191=2027,1+Assumptions!$F$175,1)/14+IF(Assumptions!AB$211=1,SUM(W102:AB102),0))</f>
        <v>4049.04840225562</v>
      </c>
    </row>
    <row r="118" customFormat="false" ht="15" hidden="false" customHeight="false" outlineLevel="0" collapsed="false">
      <c r="A118" s="22" t="s">
        <v>1168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customFormat="false" ht="15" hidden="false" customHeight="false" outlineLevel="0" collapsed="false">
      <c r="A119" s="28" t="s">
        <v>1169</v>
      </c>
      <c r="B119" s="63"/>
      <c r="C119" s="68" t="n">
        <f aca="false">P119</f>
        <v>32.35297132</v>
      </c>
      <c r="D119" s="68" t="n">
        <f aca="false">AB119</f>
        <v>38.2351078044786</v>
      </c>
      <c r="E119" s="80" t="n">
        <f aca="false">E9+E10+E11+E12</f>
        <v>29</v>
      </c>
      <c r="F119" s="80" t="n">
        <f aca="false">F9+F10+F11+F12</f>
        <v>30</v>
      </c>
      <c r="G119" s="80" t="n">
        <f aca="false">G9+G10+G11+G12</f>
        <v>31</v>
      </c>
      <c r="H119" s="80" t="n">
        <f aca="false">H9+H10+H11+H12</f>
        <v>31</v>
      </c>
      <c r="I119" s="80" t="n">
        <f aca="false">I9+I10+I11+I12</f>
        <v>32</v>
      </c>
      <c r="J119" s="80" t="n">
        <f aca="false">J9+J10+J11+J12</f>
        <v>32</v>
      </c>
      <c r="K119" s="80" t="n">
        <f aca="false">K9+K10+K11+K12</f>
        <v>32</v>
      </c>
      <c r="L119" s="80" t="n">
        <f aca="false">L9+L10+L11+L12</f>
        <v>32</v>
      </c>
      <c r="M119" s="80" t="n">
        <f aca="false">M9+M10+M11+M12</f>
        <v>32.68</v>
      </c>
      <c r="N119" s="80" t="n">
        <f aca="false">N9+N10+N11+N12</f>
        <v>32.3532</v>
      </c>
      <c r="O119" s="80" t="n">
        <f aca="false">O9+O10+O11+O12</f>
        <v>32.349668</v>
      </c>
      <c r="P119" s="80" t="n">
        <f aca="false">P9+P10+P11+P12</f>
        <v>32.35297132</v>
      </c>
      <c r="Q119" s="80" t="n">
        <f aca="false">Q9+Q10+Q11+Q12</f>
        <v>35.3529736068</v>
      </c>
      <c r="R119" s="80" t="n">
        <f aca="false">R9+R10+R11+R12</f>
        <v>35.322940550732</v>
      </c>
      <c r="S119" s="80" t="n">
        <f aca="false">S9+S10+S11+S12</f>
        <v>35.2932408584247</v>
      </c>
      <c r="T119" s="80" t="n">
        <f aca="false">T9+T10+T11+T12</f>
        <v>36.2938381859084</v>
      </c>
      <c r="U119" s="80" t="n">
        <f aca="false">U9+U10+U11+U12</f>
        <v>36.2841292095567</v>
      </c>
      <c r="V119" s="80" t="n">
        <f aca="false">V9+V10+V11+V12</f>
        <v>36.2742203260453</v>
      </c>
      <c r="W119" s="80" t="n">
        <f aca="false">W9+W10+W11+W12</f>
        <v>36.274416504644</v>
      </c>
      <c r="X119" s="80" t="n">
        <f aca="false">X9+X10+X11+X12</f>
        <v>36.2745136316931</v>
      </c>
      <c r="Y119" s="80" t="n">
        <f aca="false">Y9+Y10+Y11+Y12</f>
        <v>38.2745106986366</v>
      </c>
      <c r="Z119" s="80" t="n">
        <f aca="false">Z9+Z10+Z11+Z12</f>
        <v>38.2545097566967</v>
      </c>
      <c r="AA119" s="80" t="n">
        <f aca="false">AA9+AA10+AA11+AA12</f>
        <v>38.2347097954467</v>
      </c>
      <c r="AB119" s="80" t="n">
        <f aca="false">AB9+AB10+AB11+AB12</f>
        <v>38.2351078044786</v>
      </c>
    </row>
    <row r="120" customFormat="false" ht="15" hidden="false" customHeight="false" outlineLevel="0" collapsed="false">
      <c r="A120" s="28" t="s">
        <v>1170</v>
      </c>
      <c r="B120" s="63"/>
      <c r="C120" s="64" t="n">
        <f aca="false">SUM(E120:P120)</f>
        <v>1591306.55767333</v>
      </c>
      <c r="D120" s="64" t="n">
        <f aca="false">SUM(Q120:AB120)</f>
        <v>1893764.59852417</v>
      </c>
      <c r="E120" s="65" t="n">
        <f aca="false">IF(E$5="A",Inputs_Actuals!E220,E43+E44+E45+E46)</f>
        <v>122804.7</v>
      </c>
      <c r="F120" s="65" t="n">
        <f aca="false">IF(F$5="A",Inputs_Actuals!F220,F43+F44+F45+F46)</f>
        <v>126686.33</v>
      </c>
      <c r="G120" s="65" t="n">
        <f aca="false">IF(G$5="A",Inputs_Actuals!G220,G43+G44+G45+G46)</f>
        <v>131059.25</v>
      </c>
      <c r="H120" s="65" t="n">
        <f aca="false">IF(H$5="A",Inputs_Actuals!H220,H43+H44+H45+H46)</f>
        <v>132169.84</v>
      </c>
      <c r="I120" s="65" t="n">
        <f aca="false">IF(I$5="A",Inputs_Actuals!I220,I43+I44+I45+I46)</f>
        <v>134514.72</v>
      </c>
      <c r="J120" s="65" t="n">
        <f aca="false">IF(J$5="A",Inputs_Actuals!J220,J43+J44+J45+J46)</f>
        <v>134866.1</v>
      </c>
      <c r="K120" s="65" t="n">
        <f aca="false">IF(K$5="A",Inputs_Actuals!K220,K43+K44+K45+K46)</f>
        <v>133725.12</v>
      </c>
      <c r="L120" s="65" t="n">
        <f aca="false">IF(L$5="A",Inputs_Actuals!L220,L43+L44+L45+L46)</f>
        <v>134269.17</v>
      </c>
      <c r="M120" s="65" t="n">
        <f aca="false">IF(M$5="A",Inputs_Actuals!M220,M43+M44+M45+M46)</f>
        <v>136326.666666667</v>
      </c>
      <c r="N120" s="65" t="n">
        <f aca="false">IF(N$5="A",Inputs_Actuals!N220,N43+N44+N45+N46)</f>
        <v>134963.4</v>
      </c>
      <c r="O120" s="65" t="n">
        <f aca="false">IF(O$5="A",Inputs_Actuals!O220,O43+O44+O45+O46)</f>
        <v>134953.766</v>
      </c>
      <c r="P120" s="65" t="n">
        <f aca="false">IF(P$5="A",Inputs_Actuals!P220,P43+P44+P45+P46)</f>
        <v>134967.495006667</v>
      </c>
      <c r="Q120" s="65" t="n">
        <f aca="false">IF(Q$5="A",Inputs_Actuals!Q220,Q43+Q44+Q45+Q46)</f>
        <v>153491.314948581</v>
      </c>
      <c r="R120" s="65" t="n">
        <f aca="false">IF(R$5="A",Inputs_Actuals!R220,R43+R44+R45+R46)</f>
        <v>153353.173277195</v>
      </c>
      <c r="S120" s="65" t="n">
        <f aca="false">IF(S$5="A",Inputs_Actuals!S220,S43+S44+S45+S46)</f>
        <v>153216.555117742</v>
      </c>
      <c r="T120" s="65" t="n">
        <f aca="false">IF(T$5="A",Inputs_Actuals!T220,T43+T44+T45+T46)</f>
        <v>157014.302716051</v>
      </c>
      <c r="U120" s="65" t="n">
        <f aca="false">IF(U$5="A",Inputs_Actuals!U220,U43+U44+U45+U46)</f>
        <v>156977.691421662</v>
      </c>
      <c r="V120" s="65" t="n">
        <f aca="false">IF(V$5="A",Inputs_Actuals!V220,V43+V44+V45+V46)</f>
        <v>156940.080058623</v>
      </c>
      <c r="W120" s="65" t="n">
        <f aca="false">IF(W$5="A",Inputs_Actuals!W220,W43+W44+W45+W46)</f>
        <v>156940.822285197</v>
      </c>
      <c r="X120" s="65" t="n">
        <f aca="false">IF(X$5="A",Inputs_Actuals!X220,X43+X44+X45+X46)</f>
        <v>156941.190976562</v>
      </c>
      <c r="Y120" s="65" t="n">
        <f aca="false">IF(Y$5="A",Inputs_Actuals!Y220,Y43+Y44+Y45+Y46)</f>
        <v>162288.679867382</v>
      </c>
      <c r="Z120" s="65" t="n">
        <f aca="false">IF(Z$5="A",Inputs_Actuals!Z220,Z43+Z44+Z45+Z46)</f>
        <v>162235.201291561</v>
      </c>
      <c r="AA120" s="65" t="n">
        <f aca="false">IF(AA$5="A",Inputs_Actuals!AA220,AA43+AA44+AA45+AA46)</f>
        <v>162182.261188411</v>
      </c>
      <c r="AB120" s="65" t="n">
        <f aca="false">IF(AB$5="A",Inputs_Actuals!AB220,AB43+AB44+AB45+AB46)</f>
        <v>162183.3253752</v>
      </c>
    </row>
    <row r="121" customFormat="false" ht="15" hidden="false" customHeight="false" outlineLevel="0" collapsed="false">
      <c r="A121" s="28" t="s">
        <v>1171</v>
      </c>
      <c r="B121" s="63"/>
      <c r="C121" s="64" t="n">
        <f aca="false">SUM(E121:P121)</f>
        <v>485107.095396196</v>
      </c>
      <c r="D121" s="64" t="n">
        <f aca="false">SUM(Q121:AB121)</f>
        <v>583307.051707319</v>
      </c>
      <c r="E121" s="65" t="n">
        <f aca="false">IF(E$5="A",Inputs_Actuals!E224,E58+E59+E60+E61)</f>
        <v>37201.05</v>
      </c>
      <c r="F121" s="65" t="n">
        <f aca="false">IF(F$5="A",Inputs_Actuals!F224,F58+F59+F60+F61)</f>
        <v>38505.16</v>
      </c>
      <c r="G121" s="65" t="n">
        <f aca="false">IF(G$5="A",Inputs_Actuals!G224,G58+G59+G60+G61)</f>
        <v>39884.89</v>
      </c>
      <c r="H121" s="65" t="n">
        <f aca="false">IF(H$5="A",Inputs_Actuals!H224,H58+H59+H60+H61)</f>
        <v>40052.96</v>
      </c>
      <c r="I121" s="65" t="n">
        <f aca="false">IF(I$5="A",Inputs_Actuals!I224,I58+I59+I60+I61)</f>
        <v>41342.21</v>
      </c>
      <c r="J121" s="65" t="n">
        <f aca="false">IF(J$5="A",Inputs_Actuals!J224,J58+J59+J60+J61)</f>
        <v>41179.99</v>
      </c>
      <c r="K121" s="65" t="n">
        <f aca="false">IF(K$5="A",Inputs_Actuals!K224,K58+K59+K60+K61)</f>
        <v>40860.65</v>
      </c>
      <c r="L121" s="65" t="n">
        <f aca="false">IF(L$5="A",Inputs_Actuals!L224,L58+L59+L60+L61)</f>
        <v>40885.82</v>
      </c>
      <c r="M121" s="65" t="n">
        <f aca="false">IF(M$5="A",Inputs_Actuals!M224,M58+M59+M60+M61)</f>
        <v>41611.3992486133</v>
      </c>
      <c r="N121" s="65" t="n">
        <f aca="false">IF(N$5="A",Inputs_Actuals!N224,N58+N59+N60+N61)</f>
        <v>41195.2852561272</v>
      </c>
      <c r="O121" s="65" t="n">
        <f aca="false">IF(O$5="A",Inputs_Actuals!O224,O58+O59+O60+O61)</f>
        <v>41191.7421602859</v>
      </c>
      <c r="P121" s="65" t="n">
        <f aca="false">IF(P$5="A",Inputs_Actuals!P224,P58+P59+P60+P61)</f>
        <v>41195.9387311692</v>
      </c>
      <c r="Q121" s="65" t="n">
        <f aca="false">IF(Q$5="A",Inputs_Actuals!Q224,Q58+Q59+Q60+Q61)</f>
        <v>47215.8090484807</v>
      </c>
      <c r="R121" s="65" t="n">
        <f aca="false">IF(R$5="A",Inputs_Actuals!R224,R58+R59+R60+R61)</f>
        <v>47171.2881504973</v>
      </c>
      <c r="S121" s="65" t="n">
        <f aca="false">IF(S$5="A",Inputs_Actuals!S224,S58+S59+S60+S61)</f>
        <v>47127.2560280102</v>
      </c>
      <c r="T121" s="65" t="n">
        <f aca="false">IF(T$5="A",Inputs_Actuals!T224,T58+T59+T60+T61)</f>
        <v>48351.2700582149</v>
      </c>
      <c r="U121" s="65" t="n">
        <f aca="false">IF(U$5="A",Inputs_Actuals!U224,U58+U59+U60+U61)</f>
        <v>48339.4702391377</v>
      </c>
      <c r="V121" s="65" t="n">
        <f aca="false">IF(V$5="A",Inputs_Actuals!V224,V58+V59+V60+V61)</f>
        <v>48327.3480970265</v>
      </c>
      <c r="W121" s="65" t="n">
        <f aca="false">IF(W$5="A",Inputs_Actuals!W224,W58+W59+W60+W61)</f>
        <v>48327.5873166384</v>
      </c>
      <c r="X121" s="65" t="n">
        <f aca="false">IF(X$5="A",Inputs_Actuals!X224,X58+X59+X60+X61)</f>
        <v>48327.7061458634</v>
      </c>
      <c r="Y121" s="65" t="n">
        <f aca="false">IF(Y$5="A",Inputs_Actuals!Y224,Y58+Y59+Y60+Y61)</f>
        <v>50051.201815375</v>
      </c>
      <c r="Z121" s="65" t="n">
        <f aca="false">IF(Z$5="A",Inputs_Actuals!Z224,Z58+Z59+Z60+Z61)</f>
        <v>50033.9656703876</v>
      </c>
      <c r="AA121" s="65" t="n">
        <f aca="false">IF(AA$5="A",Inputs_Actuals!AA224,AA58+AA59+AA60+AA61)</f>
        <v>50016.9030751424</v>
      </c>
      <c r="AB121" s="65" t="n">
        <f aca="false">IF(AB$5="A",Inputs_Actuals!AB224,AB58+AB59+AB60+AB61)</f>
        <v>50017.2460625447</v>
      </c>
    </row>
    <row r="122" customFormat="false" ht="15" hidden="false" customHeight="false" outlineLevel="0" collapsed="false">
      <c r="A122" s="59" t="s">
        <v>1172</v>
      </c>
      <c r="B122" s="60" t="s">
        <v>1173</v>
      </c>
      <c r="C122" s="61" t="n">
        <f aca="false">SUM(E122:P122)</f>
        <v>2076413.65306953</v>
      </c>
      <c r="D122" s="61" t="n">
        <f aca="false">SUM(Q122:AB122)</f>
        <v>2477071.65023149</v>
      </c>
      <c r="E122" s="61" t="n">
        <f aca="false">E120+E121</f>
        <v>160005.75</v>
      </c>
      <c r="F122" s="61" t="n">
        <f aca="false">F120+F121</f>
        <v>165191.49</v>
      </c>
      <c r="G122" s="61" t="n">
        <f aca="false">G120+G121</f>
        <v>170944.14</v>
      </c>
      <c r="H122" s="61" t="n">
        <f aca="false">H120+H121</f>
        <v>172222.8</v>
      </c>
      <c r="I122" s="61" t="n">
        <f aca="false">I120+I121</f>
        <v>175856.93</v>
      </c>
      <c r="J122" s="61" t="n">
        <f aca="false">J120+J121</f>
        <v>176046.09</v>
      </c>
      <c r="K122" s="61" t="n">
        <f aca="false">K120+K121</f>
        <v>174585.77</v>
      </c>
      <c r="L122" s="61" t="n">
        <f aca="false">L120+L121</f>
        <v>175154.99</v>
      </c>
      <c r="M122" s="61" t="n">
        <f aca="false">M120+M121</f>
        <v>177938.06591528</v>
      </c>
      <c r="N122" s="61" t="n">
        <f aca="false">N120+N121</f>
        <v>176158.685256127</v>
      </c>
      <c r="O122" s="61" t="n">
        <f aca="false">O120+O121</f>
        <v>176145.508160286</v>
      </c>
      <c r="P122" s="61" t="n">
        <f aca="false">P120+P121</f>
        <v>176163.433737836</v>
      </c>
      <c r="Q122" s="61" t="n">
        <f aca="false">Q120+Q121</f>
        <v>200707.123997062</v>
      </c>
      <c r="R122" s="61" t="n">
        <f aca="false">R120+R121</f>
        <v>200524.461427692</v>
      </c>
      <c r="S122" s="61" t="n">
        <f aca="false">S120+S121</f>
        <v>200343.811145752</v>
      </c>
      <c r="T122" s="61" t="n">
        <f aca="false">T120+T121</f>
        <v>205365.572774266</v>
      </c>
      <c r="U122" s="61" t="n">
        <f aca="false">U120+U121</f>
        <v>205317.1616608</v>
      </c>
      <c r="V122" s="61" t="n">
        <f aca="false">V120+V121</f>
        <v>205267.428155649</v>
      </c>
      <c r="W122" s="61" t="n">
        <f aca="false">W120+W121</f>
        <v>205268.409601835</v>
      </c>
      <c r="X122" s="61" t="n">
        <f aca="false">X120+X121</f>
        <v>205268.897122425</v>
      </c>
      <c r="Y122" s="61" t="n">
        <f aca="false">Y120+Y121</f>
        <v>212339.881682757</v>
      </c>
      <c r="Z122" s="61" t="n">
        <f aca="false">Z120+Z121</f>
        <v>212269.166961948</v>
      </c>
      <c r="AA122" s="61" t="n">
        <f aca="false">AA120+AA121</f>
        <v>212199.164263553</v>
      </c>
      <c r="AB122" s="61" t="n">
        <f aca="false">AB120+AB121</f>
        <v>212200.571437745</v>
      </c>
    </row>
    <row r="123" customFormat="false" ht="15" hidden="false" customHeight="false" outlineLevel="0" collapsed="false">
      <c r="A123" s="28" t="s">
        <v>1174</v>
      </c>
      <c r="B123" s="63"/>
      <c r="C123" s="64" t="n">
        <f aca="false">SUM(E123:P123)</f>
        <v>1363919.22372</v>
      </c>
      <c r="D123" s="64" t="n">
        <f aca="false">SUM(Q123:AB123)</f>
        <v>1623226.798735</v>
      </c>
      <c r="E123" s="65" t="n">
        <f aca="false">IF(E$5="A",Inputs_Actuals!E222,E9*Assumptions!$D$76*IF(Assumptions!E$191=2027,1+Assumptions!$F$175,1)/14+E10*Assumptions!$D$77*IF(Assumptions!E$191=2027,1+Assumptions!$F$175,1)/14+E11*Assumptions!$D$78*IF(Assumptions!E$191=2027,1+Assumptions!$F$175,1)/14+E12*Assumptions!$D$79*IF(Assumptions!E$191=2027,1+Assumptions!$F$175,1)/14)</f>
        <v>105245.18</v>
      </c>
      <c r="F123" s="65" t="n">
        <f aca="false">IF(F$5="A",Inputs_Actuals!F222,F9*Assumptions!$D$76*IF(Assumptions!F$191=2027,1+Assumptions!$F$175,1)/14+F10*Assumptions!$D$77*IF(Assumptions!F$191=2027,1+Assumptions!$F$175,1)/14+F11*Assumptions!$D$78*IF(Assumptions!F$191=2027,1+Assumptions!$F$175,1)/14+F12*Assumptions!$D$79*IF(Assumptions!F$191=2027,1+Assumptions!$F$175,1)/14)</f>
        <v>108603</v>
      </c>
      <c r="G123" s="65" t="n">
        <f aca="false">IF(G$5="A",Inputs_Actuals!G222,G9*Assumptions!$D$76*IF(Assumptions!G$191=2027,1+Assumptions!$F$175,1)/14+G10*Assumptions!$D$77*IF(Assumptions!G$191=2027,1+Assumptions!$F$175,1)/14+G11*Assumptions!$D$78*IF(Assumptions!G$191=2027,1+Assumptions!$F$175,1)/14+G12*Assumptions!$D$79*IF(Assumptions!G$191=2027,1+Assumptions!$F$175,1)/14)</f>
        <v>112285.44</v>
      </c>
      <c r="H123" s="65" t="n">
        <f aca="false">IF(H$5="A",Inputs_Actuals!H222,H9*Assumptions!$D$76*IF(Assumptions!H$191=2027,1+Assumptions!$F$175,1)/14+H10*Assumptions!$D$77*IF(Assumptions!H$191=2027,1+Assumptions!$F$175,1)/14+H11*Assumptions!$D$78*IF(Assumptions!H$191=2027,1+Assumptions!$F$175,1)/14+H12*Assumptions!$D$79*IF(Assumptions!H$191=2027,1+Assumptions!$F$175,1)/14)</f>
        <v>113396.03</v>
      </c>
      <c r="I123" s="65" t="n">
        <f aca="false">IF(I$5="A",Inputs_Actuals!I222,I9*Assumptions!$D$76*IF(Assumptions!I$191=2027,1+Assumptions!$F$175,1)/14+I10*Assumptions!$D$77*IF(Assumptions!I$191=2027,1+Assumptions!$F$175,1)/14+I11*Assumptions!$D$78*IF(Assumptions!I$191=2027,1+Assumptions!$F$175,1)/14+I12*Assumptions!$D$79*IF(Assumptions!I$191=2027,1+Assumptions!$F$175,1)/14)</f>
        <v>115217.1</v>
      </c>
      <c r="J123" s="65" t="n">
        <f aca="false">IF(J$5="A",Inputs_Actuals!J222,J9*Assumptions!$D$76*IF(Assumptions!J$191=2027,1+Assumptions!$F$175,1)/14+J10*Assumptions!$D$77*IF(Assumptions!J$191=2027,1+Assumptions!$F$175,1)/14+J11*Assumptions!$D$78*IF(Assumptions!J$191=2027,1+Assumptions!$F$175,1)/14+J12*Assumptions!$D$79*IF(Assumptions!J$191=2027,1+Assumptions!$F$175,1)/14)</f>
        <v>115568.48</v>
      </c>
      <c r="K123" s="65" t="n">
        <f aca="false">IF(K$5="A",Inputs_Actuals!K222,K9*Assumptions!$D$76*IF(Assumptions!K$191=2027,1+Assumptions!$F$175,1)/14+K10*Assumptions!$D$77*IF(Assumptions!K$191=2027,1+Assumptions!$F$175,1)/14+K11*Assumptions!$D$78*IF(Assumptions!K$191=2027,1+Assumptions!$F$175,1)/14+K12*Assumptions!$D$79*IF(Assumptions!K$191=2027,1+Assumptions!$F$175,1)/14)</f>
        <v>114582.26</v>
      </c>
      <c r="L123" s="65" t="n">
        <f aca="false">IF(L$5="A",Inputs_Actuals!L222,L9*Assumptions!$D$76*IF(Assumptions!L$191=2027,1+Assumptions!$F$175,1)/14+L10*Assumptions!$D$77*IF(Assumptions!L$191=2027,1+Assumptions!$F$175,1)/14+L11*Assumptions!$D$78*IF(Assumptions!L$191=2027,1+Assumptions!$F$175,1)/14+L12*Assumptions!$D$79*IF(Assumptions!L$191=2027,1+Assumptions!$F$175,1)/14)</f>
        <v>115126.31</v>
      </c>
      <c r="M123" s="65" t="n">
        <f aca="false">IF(M$5="A",Inputs_Actuals!M222,M9*Assumptions!$D$76*IF(Assumptions!M$191=2027,1+Assumptions!$F$175,1)/14+M10*Assumptions!$D$77*IF(Assumptions!M$191=2027,1+Assumptions!$F$175,1)/14+M11*Assumptions!$D$78*IF(Assumptions!M$191=2027,1+Assumptions!$F$175,1)/14+M12*Assumptions!$D$79*IF(Assumptions!M$191=2027,1+Assumptions!$F$175,1)/14)</f>
        <v>116851.428571429</v>
      </c>
      <c r="N123" s="65" t="n">
        <f aca="false">IF(N$5="A",Inputs_Actuals!N222,N9*Assumptions!$D$76*IF(Assumptions!N$191=2027,1+Assumptions!$F$175,1)/14+N10*Assumptions!$D$77*IF(Assumptions!N$191=2027,1+Assumptions!$F$175,1)/14+N11*Assumptions!$D$78*IF(Assumptions!N$191=2027,1+Assumptions!$F$175,1)/14+N12*Assumptions!$D$79*IF(Assumptions!N$191=2027,1+Assumptions!$F$175,1)/14)</f>
        <v>115682.914285714</v>
      </c>
      <c r="O123" s="65" t="n">
        <f aca="false">IF(O$5="A",Inputs_Actuals!O222,O9*Assumptions!$D$76*IF(Assumptions!O$191=2027,1+Assumptions!$F$175,1)/14+O10*Assumptions!$D$77*IF(Assumptions!O$191=2027,1+Assumptions!$F$175,1)/14+O11*Assumptions!$D$78*IF(Assumptions!O$191=2027,1+Assumptions!$F$175,1)/14+O12*Assumptions!$D$79*IF(Assumptions!O$191=2027,1+Assumptions!$F$175,1)/14)</f>
        <v>115674.656571429</v>
      </c>
      <c r="P123" s="65" t="n">
        <f aca="false">IF(P$5="A",Inputs_Actuals!P222,P9*Assumptions!$D$76*IF(Assumptions!P$191=2027,1+Assumptions!$F$175,1)/14+P10*Assumptions!$D$77*IF(Assumptions!P$191=2027,1+Assumptions!$F$175,1)/14+P11*Assumptions!$D$78*IF(Assumptions!P$191=2027,1+Assumptions!$F$175,1)/14+P12*Assumptions!$D$79*IF(Assumptions!P$191=2027,1+Assumptions!$F$175,1)/14)</f>
        <v>115686.424291429</v>
      </c>
      <c r="Q123" s="65" t="n">
        <f aca="false">IF(Q$5="A",Inputs_Actuals!Q222,Q9*Assumptions!$D$76*IF(Assumptions!Q$191=2027,1+Assumptions!$F$175,1)/14+Q10*Assumptions!$D$77*IF(Assumptions!Q$191=2027,1+Assumptions!$F$175,1)/14+Q11*Assumptions!$D$78*IF(Assumptions!Q$191=2027,1+Assumptions!$F$175,1)/14+Q12*Assumptions!$D$79*IF(Assumptions!Q$191=2027,1+Assumptions!$F$175,1)/14)</f>
        <v>131563.984241641</v>
      </c>
      <c r="R123" s="65" t="n">
        <f aca="false">IF(R$5="A",Inputs_Actuals!R222,R9*Assumptions!$D$76*IF(Assumptions!R$191=2027,1+Assumptions!$F$175,1)/14+R10*Assumptions!$D$77*IF(Assumptions!R$191=2027,1+Assumptions!$F$175,1)/14+R11*Assumptions!$D$78*IF(Assumptions!R$191=2027,1+Assumptions!$F$175,1)/14+R12*Assumptions!$D$79*IF(Assumptions!R$191=2027,1+Assumptions!$F$175,1)/14)</f>
        <v>131445.577094739</v>
      </c>
      <c r="S123" s="65" t="n">
        <f aca="false">IF(S$5="A",Inputs_Actuals!S222,S9*Assumptions!$D$76*IF(Assumptions!S$191=2027,1+Assumptions!$F$175,1)/14+S10*Assumptions!$D$77*IF(Assumptions!S$191=2027,1+Assumptions!$F$175,1)/14+S11*Assumptions!$D$78*IF(Assumptions!S$191=2027,1+Assumptions!$F$175,1)/14+S12*Assumptions!$D$79*IF(Assumptions!S$191=2027,1+Assumptions!$F$175,1)/14)</f>
        <v>131328.475815208</v>
      </c>
      <c r="T123" s="65" t="n">
        <f aca="false">IF(T$5="A",Inputs_Actuals!T222,T9*Assumptions!$D$76*IF(Assumptions!T$191=2027,1+Assumptions!$F$175,1)/14+T10*Assumptions!$D$77*IF(Assumptions!T$191=2027,1+Assumptions!$F$175,1)/14+T11*Assumptions!$D$78*IF(Assumptions!T$191=2027,1+Assumptions!$F$175,1)/14+T12*Assumptions!$D$79*IF(Assumptions!T$191=2027,1+Assumptions!$F$175,1)/14)</f>
        <v>134583.688042329</v>
      </c>
      <c r="U123" s="65" t="n">
        <f aca="false">IF(U$5="A",Inputs_Actuals!U222,U9*Assumptions!$D$76*IF(Assumptions!U$191=2027,1+Assumptions!$F$175,1)/14+U10*Assumptions!$D$77*IF(Assumptions!U$191=2027,1+Assumptions!$F$175,1)/14+U11*Assumptions!$D$78*IF(Assumptions!U$191=2027,1+Assumptions!$F$175,1)/14+U12*Assumptions!$D$79*IF(Assumptions!U$191=2027,1+Assumptions!$F$175,1)/14)</f>
        <v>134552.306932853</v>
      </c>
      <c r="V123" s="65" t="n">
        <f aca="false">IF(V$5="A",Inputs_Actuals!V222,V9*Assumptions!$D$76*IF(Assumptions!V$191=2027,1+Assumptions!$F$175,1)/14+V10*Assumptions!$D$77*IF(Assumptions!V$191=2027,1+Assumptions!$F$175,1)/14+V11*Assumptions!$D$78*IF(Assumptions!V$191=2027,1+Assumptions!$F$175,1)/14+V12*Assumptions!$D$79*IF(Assumptions!V$191=2027,1+Assumptions!$F$175,1)/14)</f>
        <v>134520.068621677</v>
      </c>
      <c r="W123" s="65" t="n">
        <f aca="false">IF(W$5="A",Inputs_Actuals!W222,W9*Assumptions!$D$76*IF(Assumptions!W$191=2027,1+Assumptions!$F$175,1)/14+W10*Assumptions!$D$77*IF(Assumptions!W$191=2027,1+Assumptions!$F$175,1)/14+W11*Assumptions!$D$78*IF(Assumptions!W$191=2027,1+Assumptions!$F$175,1)/14+W12*Assumptions!$D$79*IF(Assumptions!W$191=2027,1+Assumptions!$F$175,1)/14)</f>
        <v>134520.704815883</v>
      </c>
      <c r="X123" s="65" t="n">
        <f aca="false">IF(X$5="A",Inputs_Actuals!X222,X9*Assumptions!$D$76*IF(Assumptions!X$191=2027,1+Assumptions!$F$175,1)/14+X10*Assumptions!$D$77*IF(Assumptions!X$191=2027,1+Assumptions!$F$175,1)/14+X11*Assumptions!$D$78*IF(Assumptions!X$191=2027,1+Assumptions!$F$175,1)/14+X12*Assumptions!$D$79*IF(Assumptions!X$191=2027,1+Assumptions!$F$175,1)/14)</f>
        <v>134521.020837053</v>
      </c>
      <c r="Y123" s="65" t="n">
        <f aca="false">IF(Y$5="A",Inputs_Actuals!Y222,Y9*Assumptions!$D$76*IF(Assumptions!Y$191=2027,1+Assumptions!$F$175,1)/14+Y10*Assumptions!$D$77*IF(Assumptions!Y$191=2027,1+Assumptions!$F$175,1)/14+Y11*Assumptions!$D$78*IF(Assumptions!Y$191=2027,1+Assumptions!$F$175,1)/14+Y12*Assumptions!$D$79*IF(Assumptions!Y$191=2027,1+Assumptions!$F$175,1)/14)</f>
        <v>139104.582743471</v>
      </c>
      <c r="Z123" s="65" t="n">
        <f aca="false">IF(Z$5="A",Inputs_Actuals!Z222,Z9*Assumptions!$D$76*IF(Assumptions!Z$191=2027,1+Assumptions!$F$175,1)/14+Z10*Assumptions!$D$77*IF(Assumptions!Z$191=2027,1+Assumptions!$F$175,1)/14+Z11*Assumptions!$D$78*IF(Assumptions!Z$191=2027,1+Assumptions!$F$175,1)/14+Z12*Assumptions!$D$79*IF(Assumptions!Z$191=2027,1+Assumptions!$F$175,1)/14)</f>
        <v>139058.743964195</v>
      </c>
      <c r="AA123" s="65" t="n">
        <f aca="false">IF(AA$5="A",Inputs_Actuals!AA222,AA9*Assumptions!$D$76*IF(Assumptions!AA$191=2027,1+Assumptions!$F$175,1)/14+AA10*Assumptions!$D$77*IF(Assumptions!AA$191=2027,1+Assumptions!$F$175,1)/14+AA11*Assumptions!$D$78*IF(Assumptions!AA$191=2027,1+Assumptions!$F$175,1)/14+AA12*Assumptions!$D$79*IF(Assumptions!AA$191=2027,1+Assumptions!$F$175,1)/14)</f>
        <v>139013.366732923</v>
      </c>
      <c r="AB123" s="65" t="n">
        <f aca="false">IF(AB$5="A",Inputs_Actuals!AB222,AB9*Assumptions!$D$76*IF(Assumptions!AB$191=2027,1+Assumptions!$F$175,1)/14+AB10*Assumptions!$D$77*IF(Assumptions!AB$191=2027,1+Assumptions!$F$175,1)/14+AB11*Assumptions!$D$78*IF(Assumptions!AB$191=2027,1+Assumptions!$F$175,1)/14+AB12*Assumptions!$D$79*IF(Assumptions!AB$191=2027,1+Assumptions!$F$175,1)/14)</f>
        <v>139014.278893029</v>
      </c>
    </row>
    <row r="124" customFormat="false" ht="15" hidden="false" customHeight="false" outlineLevel="0" collapsed="false">
      <c r="A124" s="28" t="s">
        <v>1175</v>
      </c>
      <c r="B124" s="63"/>
      <c r="C124" s="64" t="n">
        <f aca="false">SUM(E124:P124)</f>
        <v>227387.333953333</v>
      </c>
      <c r="D124" s="64" t="n">
        <f aca="false">SUM(Q124:AB124)</f>
        <v>270537.799789167</v>
      </c>
      <c r="E124" s="65" t="n">
        <f aca="false">IF(E$5="A",Inputs_Actuals!E221,E88+E89+E90+E91)</f>
        <v>17559.52</v>
      </c>
      <c r="F124" s="65" t="n">
        <f aca="false">IF(F$5="A",Inputs_Actuals!F221,F88+F89+F90+F91)</f>
        <v>18083.33</v>
      </c>
      <c r="G124" s="65" t="n">
        <f aca="false">IF(G$5="A",Inputs_Actuals!G221,G88+G89+G90+G91)</f>
        <v>18773.81</v>
      </c>
      <c r="H124" s="65" t="n">
        <f aca="false">IF(H$5="A",Inputs_Actuals!H221,H88+H89+H90+H91)</f>
        <v>18773.81</v>
      </c>
      <c r="I124" s="65" t="n">
        <f aca="false">IF(I$5="A",Inputs_Actuals!I221,I88+I89+I90+I91)</f>
        <v>19297.62</v>
      </c>
      <c r="J124" s="65" t="n">
        <f aca="false">IF(J$5="A",Inputs_Actuals!J221,J88+J89+J90+J91)</f>
        <v>19297.62</v>
      </c>
      <c r="K124" s="65" t="n">
        <f aca="false">IF(K$5="A",Inputs_Actuals!K221,K88+K89+K90+K91)</f>
        <v>19142.86</v>
      </c>
      <c r="L124" s="65" t="n">
        <f aca="false">IF(L$5="A",Inputs_Actuals!L221,L88+L89+L90+L91)</f>
        <v>19142.86</v>
      </c>
      <c r="M124" s="65" t="n">
        <f aca="false">IF(M$5="A",Inputs_Actuals!M221,M88+M89+M90+M91)</f>
        <v>19475.2380952381</v>
      </c>
      <c r="N124" s="65" t="n">
        <f aca="false">IF(N$5="A",Inputs_Actuals!N221,N88+N89+N90+N91)</f>
        <v>19280.4857142857</v>
      </c>
      <c r="O124" s="65" t="n">
        <f aca="false">IF(O$5="A",Inputs_Actuals!O221,O88+O89+O90+O91)</f>
        <v>19279.1094285714</v>
      </c>
      <c r="P124" s="65" t="n">
        <f aca="false">IF(P$5="A",Inputs_Actuals!P221,P88+P89+P90+P91)</f>
        <v>19281.0707152381</v>
      </c>
      <c r="Q124" s="65" t="n">
        <f aca="false">IF(Q$5="A",Inputs_Actuals!Q221,Q88+Q89+Q90+Q91)</f>
        <v>21927.3307069401</v>
      </c>
      <c r="R124" s="65" t="n">
        <f aca="false">IF(R$5="A",Inputs_Actuals!R221,R88+R89+R90+R91)</f>
        <v>21907.5961824565</v>
      </c>
      <c r="S124" s="65" t="n">
        <f aca="false">IF(S$5="A",Inputs_Actuals!S221,S88+S89+S90+S91)</f>
        <v>21888.0793025346</v>
      </c>
      <c r="T124" s="65" t="n">
        <f aca="false">IF(T$5="A",Inputs_Actuals!T221,T88+T89+T90+T91)</f>
        <v>22430.6146737215</v>
      </c>
      <c r="U124" s="65" t="n">
        <f aca="false">IF(U$5="A",Inputs_Actuals!U221,U88+U89+U90+U91)</f>
        <v>22425.3844888089</v>
      </c>
      <c r="V124" s="65" t="n">
        <f aca="false">IF(V$5="A",Inputs_Actuals!V221,V88+V89+V90+V91)</f>
        <v>22420.0114369461</v>
      </c>
      <c r="W124" s="65" t="n">
        <f aca="false">IF(W$5="A",Inputs_Actuals!W221,W88+W89+W90+W91)</f>
        <v>22420.1174693139</v>
      </c>
      <c r="X124" s="65" t="n">
        <f aca="false">IF(X$5="A",Inputs_Actuals!X221,X88+X89+X90+X91)</f>
        <v>22420.1701395088</v>
      </c>
      <c r="Y124" s="65" t="n">
        <f aca="false">IF(Y$5="A",Inputs_Actuals!Y221,Y88+Y89+Y90+Y91)</f>
        <v>23184.0971239118</v>
      </c>
      <c r="Z124" s="65" t="n">
        <f aca="false">IF(Z$5="A",Inputs_Actuals!Z221,Z88+Z89+Z90+Z91)</f>
        <v>23176.4573273658</v>
      </c>
      <c r="AA124" s="65" t="n">
        <f aca="false">IF(AA$5="A",Inputs_Actuals!AA221,AA88+AA89+AA90+AA91)</f>
        <v>23168.8944554872</v>
      </c>
      <c r="AB124" s="65" t="n">
        <f aca="false">IF(AB$5="A",Inputs_Actuals!AB221,AB88+AB89+AB90+AB91)</f>
        <v>23169.0464821715</v>
      </c>
    </row>
    <row r="125" customFormat="false" ht="15" hidden="false" customHeight="false" outlineLevel="0" collapsed="false">
      <c r="A125" s="28" t="s">
        <v>1176</v>
      </c>
      <c r="B125" s="63" t="s">
        <v>1177</v>
      </c>
      <c r="C125" s="64" t="n">
        <f aca="false">SUM(E125:P125)</f>
        <v>227387.333953333</v>
      </c>
      <c r="D125" s="64" t="n">
        <f aca="false">SUM(Q125:AB125)</f>
        <v>270537.799789167</v>
      </c>
      <c r="E125" s="65" t="n">
        <f aca="false">IF(E$5="A",Inputs_Actuals!E223,IF(Assumptions!E$211=1,SUM(E124:E124),0))</f>
        <v>0</v>
      </c>
      <c r="F125" s="65" t="n">
        <f aca="false">IF(F$5="A",Inputs_Actuals!F223,IF(Assumptions!F$211=1,SUM(E124:F124),0))</f>
        <v>0</v>
      </c>
      <c r="G125" s="65" t="n">
        <f aca="false">IF(G$5="A",Inputs_Actuals!G223,IF(Assumptions!G$211=1,SUM(E124:G124),0))</f>
        <v>0</v>
      </c>
      <c r="H125" s="65" t="n">
        <f aca="false">IF(H$5="A",Inputs_Actuals!H223,IF(Assumptions!H$211=1,SUM(E124:H124),0))</f>
        <v>0</v>
      </c>
      <c r="I125" s="65" t="n">
        <f aca="false">IF(I$5="A",Inputs_Actuals!I223,IF(Assumptions!I$211=1,SUM(E124:I124),0))</f>
        <v>0</v>
      </c>
      <c r="J125" s="65" t="n">
        <f aca="false">IF(J$5="A",Inputs_Actuals!J223,IF(Assumptions!J$211=1,SUM(E124:J124),0))</f>
        <v>111785.71</v>
      </c>
      <c r="K125" s="65" t="n">
        <f aca="false">IF(K$5="A",Inputs_Actuals!K223,IF(Assumptions!K$211=1,SUM(F124:K124),0))</f>
        <v>0</v>
      </c>
      <c r="L125" s="65" t="n">
        <f aca="false">IF(L$5="A",Inputs_Actuals!L223,IF(Assumptions!L$211=1,SUM(G124:L124),0))</f>
        <v>0</v>
      </c>
      <c r="M125" s="65" t="n">
        <f aca="false">IF(M$5="A",Inputs_Actuals!M223,IF(Assumptions!M$211=1,SUM(H124:M124),0))</f>
        <v>0</v>
      </c>
      <c r="N125" s="65" t="n">
        <f aca="false">IF(N$5="A",Inputs_Actuals!N223,IF(Assumptions!N$211=1,SUM(I124:N124),0))</f>
        <v>0</v>
      </c>
      <c r="O125" s="65" t="n">
        <f aca="false">IF(O$5="A",Inputs_Actuals!O223,IF(Assumptions!O$211=1,SUM(J124:O124),0))</f>
        <v>0</v>
      </c>
      <c r="P125" s="65" t="n">
        <f aca="false">IF(P$5="A",Inputs_Actuals!P223,IF(Assumptions!P$211=1,SUM(K124:P124),0))</f>
        <v>115601.623953333</v>
      </c>
      <c r="Q125" s="65" t="n">
        <f aca="false">IF(Q$5="A",Inputs_Actuals!Q223,IF(Assumptions!Q$211=1,SUM(L124:Q124),0))</f>
        <v>0</v>
      </c>
      <c r="R125" s="65" t="n">
        <f aca="false">IF(R$5="A",Inputs_Actuals!R223,IF(Assumptions!R$211=1,SUM(M124:R124),0))</f>
        <v>0</v>
      </c>
      <c r="S125" s="65" t="n">
        <f aca="false">IF(S$5="A",Inputs_Actuals!S223,IF(Assumptions!S$211=1,SUM(N124:S124),0))</f>
        <v>0</v>
      </c>
      <c r="T125" s="65" t="n">
        <f aca="false">IF(T$5="A",Inputs_Actuals!T223,IF(Assumptions!T$211=1,SUM(O124:T124),0))</f>
        <v>0</v>
      </c>
      <c r="U125" s="65" t="n">
        <f aca="false">IF(U$5="A",Inputs_Actuals!U223,IF(Assumptions!U$211=1,SUM(P124:U124),0))</f>
        <v>0</v>
      </c>
      <c r="V125" s="65" t="n">
        <f aca="false">IF(V$5="A",Inputs_Actuals!V223,IF(Assumptions!V$211=1,SUM(Q124:V124),0))</f>
        <v>132999.016791408</v>
      </c>
      <c r="W125" s="65" t="n">
        <f aca="false">IF(W$5="A",Inputs_Actuals!W223,IF(Assumptions!W$211=1,SUM(R124:W124),0))</f>
        <v>0</v>
      </c>
      <c r="X125" s="65" t="n">
        <f aca="false">IF(X$5="A",Inputs_Actuals!X223,IF(Assumptions!X$211=1,SUM(S124:X124),0))</f>
        <v>0</v>
      </c>
      <c r="Y125" s="65" t="n">
        <f aca="false">IF(Y$5="A",Inputs_Actuals!Y223,IF(Assumptions!Y$211=1,SUM(T124:Y124),0))</f>
        <v>0</v>
      </c>
      <c r="Z125" s="65" t="n">
        <f aca="false">IF(Z$5="A",Inputs_Actuals!Z223,IF(Assumptions!Z$211=1,SUM(U124:Z124),0))</f>
        <v>0</v>
      </c>
      <c r="AA125" s="65" t="n">
        <f aca="false">IF(AA$5="A",Inputs_Actuals!AA223,IF(Assumptions!AA$211=1,SUM(V124:AA124),0))</f>
        <v>0</v>
      </c>
      <c r="AB125" s="65" t="n">
        <f aca="false">IF(AB$5="A",Inputs_Actuals!AB223,IF(Assumptions!AB$211=1,SUM(W124:AB124),0))</f>
        <v>137538.782997759</v>
      </c>
    </row>
    <row r="126" customFormat="false" ht="15" hidden="false" customHeight="false" outlineLevel="0" collapsed="false">
      <c r="A126" s="28" t="s">
        <v>1178</v>
      </c>
      <c r="B126" s="63"/>
      <c r="C126" s="64" t="n">
        <f aca="false">SUM(E126:P126)</f>
        <v>98056.5148375696</v>
      </c>
      <c r="D126" s="64" t="n">
        <f aca="false">SUM(Q126:AB126)</f>
        <v>117998.22025742</v>
      </c>
      <c r="E126" s="65" t="n">
        <f aca="false">IF(E$5="A",Inputs_Actuals!E225,E73+E74+E75+E76)</f>
        <v>7526.83</v>
      </c>
      <c r="F126" s="65" t="n">
        <f aca="false">IF(F$5="A",Inputs_Actuals!F225,F73+F74+F75+F76)</f>
        <v>7796.78</v>
      </c>
      <c r="G126" s="65" t="n">
        <f aca="false">IF(G$5="A",Inputs_Actuals!G225,G73+G74+G75+G76)</f>
        <v>8098.77</v>
      </c>
      <c r="H126" s="65" t="n">
        <f aca="false">IF(H$5="A",Inputs_Actuals!H225,H73+H74+H75+H76)</f>
        <v>8056.26</v>
      </c>
      <c r="I126" s="65" t="n">
        <f aca="false">IF(I$5="A",Inputs_Actuals!I225,I73+I74+I75+I76)</f>
        <v>8341.38</v>
      </c>
      <c r="J126" s="65" t="n">
        <f aca="false">IF(J$5="A",Inputs_Actuals!J225,J73+J74+J75+J76)</f>
        <v>8317.95</v>
      </c>
      <c r="K126" s="65" t="n">
        <f aca="false">IF(K$5="A",Inputs_Actuals!K225,K73+K74+K75+K76)</f>
        <v>8256.84</v>
      </c>
      <c r="L126" s="65" t="n">
        <f aca="false">IF(L$5="A",Inputs_Actuals!L225,L73+L74+L75+L76)</f>
        <v>8263.46</v>
      </c>
      <c r="M126" s="65" t="n">
        <f aca="false">IF(M$5="A",Inputs_Actuals!M225,M73+M74+M75+M76)</f>
        <v>8412.80329765333</v>
      </c>
      <c r="N126" s="65" t="n">
        <f aca="false">IF(N$5="A",Inputs_Actuals!N225,N73+N74+N75+N76)</f>
        <v>8328.6752646768</v>
      </c>
      <c r="O126" s="65" t="n">
        <f aca="false">IF(O$5="A",Inputs_Actuals!O225,O73+O74+O75+O76)</f>
        <v>8327.95891571003</v>
      </c>
      <c r="P126" s="65" t="n">
        <f aca="false">IF(P$5="A",Inputs_Actuals!P225,P73+P74+P75+P76)</f>
        <v>8328.80735952947</v>
      </c>
      <c r="Q126" s="65" t="n">
        <f aca="false">IF(Q$5="A",Inputs_Actuals!Q225,Q73+Q74+Q75+Q76)</f>
        <v>9551.36405432684</v>
      </c>
      <c r="R126" s="65" t="n">
        <f aca="false">IF(R$5="A",Inputs_Actuals!R225,R73+R74+R75+R76)</f>
        <v>9542.35765505569</v>
      </c>
      <c r="S126" s="65" t="n">
        <f aca="false">IF(S$5="A",Inputs_Actuals!S225,S73+S74+S75+S76)</f>
        <v>9533.45013290618</v>
      </c>
      <c r="T126" s="65" t="n">
        <f aca="false">IF(T$5="A",Inputs_Actuals!T225,T73+T74+T75+T76)</f>
        <v>9781.06327212038</v>
      </c>
      <c r="U126" s="65" t="n">
        <f aca="false">IF(U$5="A",Inputs_Actuals!U225,U73+U74+U75+U76)</f>
        <v>9778.67621594974</v>
      </c>
      <c r="V126" s="65" t="n">
        <f aca="false">IF(V$5="A",Inputs_Actuals!V225,V73+V74+V75+V76)</f>
        <v>9776.2239551193</v>
      </c>
      <c r="W126" s="65" t="n">
        <f aca="false">IF(W$5="A",Inputs_Actuals!W225,W73+W74+W75+W76)</f>
        <v>9776.27234828931</v>
      </c>
      <c r="X126" s="65" t="n">
        <f aca="false">IF(X$5="A",Inputs_Actuals!X225,X73+X74+X75+X76)</f>
        <v>9776.29638696591</v>
      </c>
      <c r="Y126" s="65" t="n">
        <f aca="false">IF(Y$5="A",Inputs_Actuals!Y225,Y73+Y74+Y75+Y76)</f>
        <v>10124.9526626474</v>
      </c>
      <c r="Z126" s="65" t="n">
        <f aca="false">IF(Z$5="A",Inputs_Actuals!Z225,Z73+Z74+Z75+Z76)</f>
        <v>10121.4658595039</v>
      </c>
      <c r="AA126" s="65" t="n">
        <f aca="false">IF(AA$5="A",Inputs_Actuals!AA225,AA73+AA74+AA75+AA76)</f>
        <v>10118.0141647785</v>
      </c>
      <c r="AB126" s="65" t="n">
        <f aca="false">IF(AB$5="A",Inputs_Actuals!AB225,AB73+AB74+AB75+AB76)</f>
        <v>10118.0835497572</v>
      </c>
    </row>
    <row r="127" customFormat="false" ht="15" hidden="false" customHeight="false" outlineLevel="0" collapsed="false">
      <c r="A127" s="28" t="s">
        <v>1179</v>
      </c>
      <c r="B127" s="63"/>
      <c r="C127" s="64" t="n">
        <f aca="false">SUM(E127:P127)</f>
        <v>332929.355918593</v>
      </c>
      <c r="D127" s="64" t="n">
        <f aca="false">SUM(Q127:AB127)</f>
        <v>391522.050586625</v>
      </c>
      <c r="E127" s="65" t="n">
        <f aca="false">IF(E$5="A",Inputs_Actuals!E226,E103+E104+E105+E106)</f>
        <v>22216.43</v>
      </c>
      <c r="F127" s="65" t="n">
        <f aca="false">IF(F$5="A",Inputs_Actuals!F226,F103+F104+F105+F106)</f>
        <v>22782.14</v>
      </c>
      <c r="G127" s="65" t="n">
        <f aca="false">IF(G$5="A",Inputs_Actuals!G226,G103+G104+G105+G106)</f>
        <v>23693.57</v>
      </c>
      <c r="H127" s="65" t="n">
        <f aca="false">IF(H$5="A",Inputs_Actuals!H226,H103+H104+H105+H106)</f>
        <v>23693.57</v>
      </c>
      <c r="I127" s="65" t="n">
        <f aca="false">IF(I$5="A",Inputs_Actuals!I226,I103+I104+I105+I106)</f>
        <v>24259.29</v>
      </c>
      <c r="J127" s="65" t="n">
        <f aca="false">IF(J$5="A",Inputs_Actuals!J226,J103+J104+J105+J106)</f>
        <v>47743.33</v>
      </c>
      <c r="K127" s="65" t="n">
        <f aca="false">IF(K$5="A",Inputs_Actuals!K226,K103+K104+K105+K106)</f>
        <v>23981.43</v>
      </c>
      <c r="L127" s="65" t="n">
        <f aca="false">IF(L$5="A",Inputs_Actuals!L226,L103+L104+L105+L106)</f>
        <v>23981.43</v>
      </c>
      <c r="M127" s="65" t="n">
        <f aca="false">IF(M$5="A",Inputs_Actuals!M226,M103+M104+M105+M106)</f>
        <v>24307.3285714286</v>
      </c>
      <c r="N127" s="65" t="n">
        <f aca="false">IF(N$5="A",Inputs_Actuals!N226,N103+N104+N105+N106)</f>
        <v>24064.2552857143</v>
      </c>
      <c r="O127" s="65" t="n">
        <f aca="false">IF(O$5="A",Inputs_Actuals!O226,O103+O104+O105+O106)</f>
        <v>24063.4270185714</v>
      </c>
      <c r="P127" s="65" t="n">
        <f aca="false">IF(P$5="A",Inputs_Actuals!P226,P103+P104+P105+P106)</f>
        <v>48143.1550428786</v>
      </c>
      <c r="Q127" s="65" t="n">
        <f aca="false">IF(Q$5="A",Inputs_Actuals!Q226,Q103+Q104+Q105+Q106)</f>
        <v>27380.3261026191</v>
      </c>
      <c r="R127" s="65" t="n">
        <f aca="false">IF(R$5="A",Inputs_Actuals!R226,R103+R104+R105+R106)</f>
        <v>27355.5793112352</v>
      </c>
      <c r="S127" s="65" t="n">
        <f aca="false">IF(S$5="A",Inputs_Actuals!S226,S103+S104+S105+S106)</f>
        <v>27331.1052315757</v>
      </c>
      <c r="T127" s="65" t="n">
        <f aca="false">IF(T$5="A",Inputs_Actuals!T226,T103+T104+T105+T106)</f>
        <v>27917.1117260005</v>
      </c>
      <c r="U127" s="65" t="n">
        <f aca="false">IF(U$5="A",Inputs_Actuals!U226,U103+U104+U105+U106)</f>
        <v>27911.4964018528</v>
      </c>
      <c r="V127" s="65" t="n">
        <f aca="false">IF(V$5="A",Inputs_Actuals!V226,V103+V104+V105+V106)</f>
        <v>55539.2443673889</v>
      </c>
      <c r="W127" s="65" t="n">
        <f aca="false">IF(W$5="A",Inputs_Actuals!W226,W103+W104+W105+W106)</f>
        <v>27905.8066825085</v>
      </c>
      <c r="X127" s="65" t="n">
        <f aca="false">IF(X$5="A",Inputs_Actuals!X226,X103+X104+X105+X106)</f>
        <v>27905.863579702</v>
      </c>
      <c r="Y127" s="65" t="n">
        <f aca="false">IF(Y$5="A",Inputs_Actuals!Y226,Y103+Y104+Y105+Y106)</f>
        <v>28501.7261545208</v>
      </c>
      <c r="Z127" s="65" t="n">
        <f aca="false">IF(Z$5="A",Inputs_Actuals!Z226,Z103+Z104+Z105+Z106)</f>
        <v>28495.7669598006</v>
      </c>
      <c r="AA127" s="65" t="n">
        <f aca="false">IF(AA$5="A",Inputs_Actuals!AA226,AA103+AA104+AA105+AA106)</f>
        <v>28489.8679259996</v>
      </c>
      <c r="AB127" s="65" t="n">
        <f aca="false">IF(AB$5="A",Inputs_Actuals!AB226,AB103+AB104+AB105+AB106)</f>
        <v>56788.1561434209</v>
      </c>
    </row>
    <row r="128" customFormat="false" ht="15" hidden="false" customHeight="false" outlineLevel="0" collapsed="false">
      <c r="A128" s="28" t="s">
        <v>1180</v>
      </c>
      <c r="B128" s="63"/>
      <c r="C128" s="64" t="n">
        <f aca="false">SUM(E128:P128)</f>
        <v>1160320.68691717</v>
      </c>
      <c r="D128" s="64" t="n">
        <f aca="false">SUM(Q128:AB128)</f>
        <v>1384244.32768012</v>
      </c>
      <c r="E128" s="74" t="n">
        <f aca="false">E123+E125-E127-E126</f>
        <v>75501.92</v>
      </c>
      <c r="F128" s="74" t="n">
        <f aca="false">F123+F125-F127-F126</f>
        <v>78024.08</v>
      </c>
      <c r="G128" s="74" t="n">
        <f aca="false">G123+G125-G127-G126</f>
        <v>80493.1</v>
      </c>
      <c r="H128" s="74" t="n">
        <f aca="false">H123+H125-H127-H126</f>
        <v>81646.2</v>
      </c>
      <c r="I128" s="74" t="n">
        <f aca="false">I123+I125-I127-I126</f>
        <v>82616.43</v>
      </c>
      <c r="J128" s="74" t="n">
        <f aca="false">J123+J125-J127-J126</f>
        <v>171292.91</v>
      </c>
      <c r="K128" s="74" t="n">
        <f aca="false">K123+K125-K127-K126</f>
        <v>82343.99</v>
      </c>
      <c r="L128" s="74" t="n">
        <f aca="false">L123+L125-L127-L126</f>
        <v>82881.42</v>
      </c>
      <c r="M128" s="74" t="n">
        <f aca="false">M123+M125-M127-M126</f>
        <v>84131.2967023467</v>
      </c>
      <c r="N128" s="74" t="n">
        <f aca="false">N123+N125-N127-N126</f>
        <v>83289.9837353232</v>
      </c>
      <c r="O128" s="74" t="n">
        <f aca="false">O123+O125-O127-O126</f>
        <v>83283.2706371471</v>
      </c>
      <c r="P128" s="74" t="n">
        <f aca="false">P123+P125-P127-P126</f>
        <v>174816.085842354</v>
      </c>
      <c r="Q128" s="74" t="n">
        <f aca="false">Q123+Q125-Q127-Q126</f>
        <v>94632.2940846949</v>
      </c>
      <c r="R128" s="74" t="n">
        <f aca="false">R123+R125-R127-R126</f>
        <v>94547.6401284479</v>
      </c>
      <c r="S128" s="74" t="n">
        <f aca="false">S123+S125-S127-S126</f>
        <v>94463.9204507257</v>
      </c>
      <c r="T128" s="74" t="n">
        <f aca="false">T123+T125-T127-T126</f>
        <v>96885.5130442082</v>
      </c>
      <c r="U128" s="74" t="n">
        <f aca="false">U123+U125-U127-U126</f>
        <v>96862.1343150506</v>
      </c>
      <c r="V128" s="74" t="n">
        <f aca="false">V123+V125-V127-V126</f>
        <v>202203.617090576</v>
      </c>
      <c r="W128" s="74" t="n">
        <f aca="false">W123+W125-W127-W126</f>
        <v>96838.6257850854</v>
      </c>
      <c r="X128" s="74" t="n">
        <f aca="false">X123+X125-X127-X126</f>
        <v>96838.8608703851</v>
      </c>
      <c r="Y128" s="74" t="n">
        <f aca="false">Y123+Y125-Y127-Y126</f>
        <v>100477.903926302</v>
      </c>
      <c r="Z128" s="74" t="n">
        <f aca="false">Z123+Z125-Z127-Z126</f>
        <v>100441.51114489</v>
      </c>
      <c r="AA128" s="74" t="n">
        <f aca="false">AA123+AA125-AA127-AA126</f>
        <v>100405.484642145</v>
      </c>
      <c r="AB128" s="74" t="n">
        <f aca="false">AB123+AB125-AB127-AB126</f>
        <v>209646.82219761</v>
      </c>
    </row>
    <row r="129" customFormat="false" ht="15" hidden="false" customHeight="false" outlineLevel="0" collapsed="false">
      <c r="A129" s="28" t="s">
        <v>1181</v>
      </c>
      <c r="B129" s="63"/>
      <c r="C129" s="68" t="n">
        <f aca="false">P129</f>
        <v>6.88526160783179</v>
      </c>
      <c r="D129" s="68" t="n">
        <f aca="false">AB129</f>
        <v>7.86885245901614</v>
      </c>
      <c r="E129" s="80" t="n">
        <f aca="false">E13+E14</f>
        <v>7</v>
      </c>
      <c r="F129" s="80" t="n">
        <f aca="false">F13+F14</f>
        <v>7</v>
      </c>
      <c r="G129" s="80" t="n">
        <f aca="false">G13+G14</f>
        <v>7</v>
      </c>
      <c r="H129" s="80" t="n">
        <f aca="false">H13+H14</f>
        <v>7</v>
      </c>
      <c r="I129" s="80" t="n">
        <f aca="false">I13+I14</f>
        <v>7</v>
      </c>
      <c r="J129" s="80" t="n">
        <f aca="false">J13+J14</f>
        <v>7</v>
      </c>
      <c r="K129" s="80" t="n">
        <f aca="false">K13+K14</f>
        <v>7</v>
      </c>
      <c r="L129" s="80" t="n">
        <f aca="false">L13+L14</f>
        <v>7</v>
      </c>
      <c r="M129" s="80" t="n">
        <f aca="false">M13+M14</f>
        <v>6.94166666666667</v>
      </c>
      <c r="N129" s="80" t="n">
        <f aca="false">N13+N14</f>
        <v>6.88381944444445</v>
      </c>
      <c r="O129" s="80" t="n">
        <f aca="false">O13+O14</f>
        <v>6.88478761574074</v>
      </c>
      <c r="P129" s="80" t="n">
        <f aca="false">P13+P14</f>
        <v>6.88526160783179</v>
      </c>
      <c r="Q129" s="80" t="n">
        <f aca="false">Q13+Q14</f>
        <v>7.88524958980356</v>
      </c>
      <c r="R129" s="80" t="n">
        <f aca="false">R13+R14</f>
        <v>7.87691240668637</v>
      </c>
      <c r="S129" s="80" t="n">
        <f aca="false">S13+S14</f>
        <v>7.86864865002925</v>
      </c>
      <c r="T129" s="80" t="n">
        <f aca="false">T13+T14</f>
        <v>7.86878699119404</v>
      </c>
      <c r="U129" s="80" t="n">
        <f aca="false">U13+U14</f>
        <v>7.86885470298981</v>
      </c>
      <c r="V129" s="80" t="n">
        <f aca="false">V13+V14</f>
        <v>7.8688529858818</v>
      </c>
      <c r="W129" s="80" t="n">
        <f aca="false">W13+W14</f>
        <v>7.86885243592607</v>
      </c>
      <c r="X129" s="80" t="n">
        <f aca="false">X13+X14</f>
        <v>7.86885245481827</v>
      </c>
      <c r="Y129" s="80" t="n">
        <f aca="false">Y13+Y14</f>
        <v>7.8688524592438</v>
      </c>
      <c r="Z129" s="80" t="n">
        <f aca="false">Z13+Z14</f>
        <v>7.86885245904948</v>
      </c>
      <c r="AA129" s="80" t="n">
        <f aca="false">AA13+AA14</f>
        <v>7.86885245901422</v>
      </c>
      <c r="AB129" s="80" t="n">
        <f aca="false">AB13+AB14</f>
        <v>7.86885245901614</v>
      </c>
    </row>
    <row r="130" customFormat="false" ht="15" hidden="false" customHeight="false" outlineLevel="0" collapsed="false">
      <c r="A130" s="28" t="s">
        <v>1182</v>
      </c>
      <c r="B130" s="63"/>
      <c r="C130" s="64" t="n">
        <f aca="false">SUM(E130:P130)</f>
        <v>367095.744505932</v>
      </c>
      <c r="D130" s="64" t="n">
        <f aca="false">SUM(Q130:AB130)</f>
        <v>436861.249447782</v>
      </c>
      <c r="E130" s="65" t="n">
        <f aca="false">IF(E$5="A",Inputs_Actuals!E227,E47+E48)</f>
        <v>30758.48</v>
      </c>
      <c r="F130" s="65" t="n">
        <f aca="false">IF(F$5="A",Inputs_Actuals!F227,F47+F48)</f>
        <v>30689.53</v>
      </c>
      <c r="G130" s="65" t="n">
        <f aca="false">IF(G$5="A",Inputs_Actuals!G227,G47+G48)</f>
        <v>30706.96</v>
      </c>
      <c r="H130" s="65" t="n">
        <f aca="false">IF(H$5="A",Inputs_Actuals!H227,H47+H48)</f>
        <v>30750.12</v>
      </c>
      <c r="I130" s="65" t="n">
        <f aca="false">IF(I$5="A",Inputs_Actuals!I227,I47+I48)</f>
        <v>30771.62</v>
      </c>
      <c r="J130" s="65" t="n">
        <f aca="false">IF(J$5="A",Inputs_Actuals!J227,J47+J48)</f>
        <v>30753.15</v>
      </c>
      <c r="K130" s="65" t="n">
        <f aca="false">IF(K$5="A",Inputs_Actuals!K227,K47+K48)</f>
        <v>30719.75</v>
      </c>
      <c r="L130" s="65" t="n">
        <f aca="false">IF(L$5="A",Inputs_Actuals!L227,L47+L48)</f>
        <v>30722.89</v>
      </c>
      <c r="M130" s="65" t="n">
        <f aca="false">IF(M$5="A",Inputs_Actuals!M227,M47+M48)</f>
        <v>30493.75</v>
      </c>
      <c r="N130" s="65" t="n">
        <f aca="false">IF(N$5="A",Inputs_Actuals!N227,N47+N48)</f>
        <v>30239.6354166667</v>
      </c>
      <c r="O130" s="65" t="n">
        <f aca="false">IF(O$5="A",Inputs_Actuals!O227,O47+O48)</f>
        <v>30243.8884548611</v>
      </c>
      <c r="P130" s="65" t="n">
        <f aca="false">IF(P$5="A",Inputs_Actuals!P227,P47+P48)</f>
        <v>30245.9706344039</v>
      </c>
      <c r="Q130" s="65" t="n">
        <f aca="false">IF(Q$5="A",Inputs_Actuals!Q227,Q47+Q48)</f>
        <v>36479.5249653551</v>
      </c>
      <c r="R130" s="65" t="n">
        <f aca="false">IF(R$5="A",Inputs_Actuals!R227,R47+R48)</f>
        <v>36436.3824619003</v>
      </c>
      <c r="S130" s="65" t="n">
        <f aca="false">IF(S$5="A",Inputs_Actuals!S227,S47+S48)</f>
        <v>36393.6174381062</v>
      </c>
      <c r="T130" s="65" t="n">
        <f aca="false">IF(T$5="A",Inputs_Actuals!T227,T47+T48)</f>
        <v>36394.3333341666</v>
      </c>
      <c r="U130" s="65" t="n">
        <f aca="false">IF(U$5="A",Inputs_Actuals!U227,U47+U48)</f>
        <v>36394.6837435644</v>
      </c>
      <c r="V130" s="65" t="n">
        <f aca="false">IF(V$5="A",Inputs_Actuals!V227,V47+V48)</f>
        <v>36394.6748576856</v>
      </c>
      <c r="W130" s="65" t="n">
        <f aca="false">IF(W$5="A",Inputs_Actuals!W227,W47+W48)</f>
        <v>36394.6720116562</v>
      </c>
      <c r="X130" s="65" t="n">
        <f aca="false">IF(X$5="A",Inputs_Actuals!X227,X47+X48)</f>
        <v>36394.6721094222</v>
      </c>
      <c r="Y130" s="65" t="n">
        <f aca="false">IF(Y$5="A",Inputs_Actuals!Y227,Y47+Y48)</f>
        <v>36394.6721323243</v>
      </c>
      <c r="Z130" s="65" t="n">
        <f aca="false">IF(Z$5="A",Inputs_Actuals!Z227,Z47+Z48)</f>
        <v>36394.6721313188</v>
      </c>
      <c r="AA130" s="65" t="n">
        <f aca="false">IF(AA$5="A",Inputs_Actuals!AA227,AA47+AA48)</f>
        <v>36394.6721311363</v>
      </c>
      <c r="AB130" s="65" t="n">
        <f aca="false">IF(AB$5="A",Inputs_Actuals!AB227,AB47+AB48)</f>
        <v>36394.6721311462</v>
      </c>
    </row>
    <row r="131" customFormat="false" ht="15" hidden="false" customHeight="false" outlineLevel="0" collapsed="false">
      <c r="A131" s="28" t="s">
        <v>1183</v>
      </c>
      <c r="B131" s="63"/>
      <c r="C131" s="64" t="n">
        <f aca="false">SUM(E131:P131)</f>
        <v>118124.603108657</v>
      </c>
      <c r="D131" s="64" t="n">
        <f aca="false">SUM(Q131:AB131)</f>
        <v>140800.38069702</v>
      </c>
      <c r="E131" s="65" t="n">
        <f aca="false">IF(E$5="A",Inputs_Actuals!E231,E62+E63)</f>
        <v>9915.95</v>
      </c>
      <c r="F131" s="65" t="n">
        <f aca="false">IF(F$5="A",Inputs_Actuals!F231,F62+F63)</f>
        <v>9899.32</v>
      </c>
      <c r="G131" s="65" t="n">
        <f aca="false">IF(G$5="A",Inputs_Actuals!G231,G62+G63)</f>
        <v>9936.72</v>
      </c>
      <c r="H131" s="65" t="n">
        <f aca="false">IF(H$5="A",Inputs_Actuals!H231,H62+H63)</f>
        <v>9878.26</v>
      </c>
      <c r="I131" s="65" t="n">
        <f aca="false">IF(I$5="A",Inputs_Actuals!I231,I62+I63)</f>
        <v>9898.2</v>
      </c>
      <c r="J131" s="65" t="n">
        <f aca="false">IF(J$5="A",Inputs_Actuals!J231,J62+J63)</f>
        <v>9851.36</v>
      </c>
      <c r="K131" s="65" t="n">
        <f aca="false">IF(K$5="A",Inputs_Actuals!K231,K62+K63)</f>
        <v>9880.98</v>
      </c>
      <c r="L131" s="65" t="n">
        <f aca="false">IF(L$5="A",Inputs_Actuals!L231,L62+L63)</f>
        <v>9890.54</v>
      </c>
      <c r="M131" s="65" t="n">
        <f aca="false">IF(M$5="A",Inputs_Actuals!M231,M62+M63)</f>
        <v>9803.740625</v>
      </c>
      <c r="N131" s="65" t="n">
        <f aca="false">IF(N$5="A",Inputs_Actuals!N231,N62+N63)</f>
        <v>9722.04278645833</v>
      </c>
      <c r="O131" s="65" t="n">
        <f aca="false">IF(O$5="A",Inputs_Actuals!O231,O62+O63)</f>
        <v>9723.41013823785</v>
      </c>
      <c r="P131" s="65" t="n">
        <f aca="false">IF(P$5="A",Inputs_Actuals!P231,P62+P63)</f>
        <v>9724.07955896087</v>
      </c>
      <c r="Q131" s="65" t="n">
        <f aca="false">IF(Q$5="A",Inputs_Actuals!Q231,Q62+Q63)</f>
        <v>11757.3508963339</v>
      </c>
      <c r="R131" s="65" t="n">
        <f aca="false">IF(R$5="A",Inputs_Actuals!R231,R62+R63)</f>
        <v>11743.4460674705</v>
      </c>
      <c r="S131" s="65" t="n">
        <f aca="false">IF(S$5="A",Inputs_Actuals!S231,S62+S63)</f>
        <v>11729.6629003016</v>
      </c>
      <c r="T131" s="65" t="n">
        <f aca="false">IF(T$5="A",Inputs_Actuals!T231,T62+T63)</f>
        <v>11729.8936336019</v>
      </c>
      <c r="U131" s="65" t="n">
        <f aca="false">IF(U$5="A",Inputs_Actuals!U231,U62+U63)</f>
        <v>11730.0065705508</v>
      </c>
      <c r="V131" s="65" t="n">
        <f aca="false">IF(V$5="A",Inputs_Actuals!V231,V62+V63)</f>
        <v>11730.0037066321</v>
      </c>
      <c r="W131" s="65" t="n">
        <f aca="false">IF(W$5="A",Inputs_Actuals!W231,W62+W63)</f>
        <v>11730.0027893568</v>
      </c>
      <c r="X131" s="65" t="n">
        <f aca="false">IF(X$5="A",Inputs_Actuals!X231,X62+X63)</f>
        <v>11730.0028208668</v>
      </c>
      <c r="Y131" s="65" t="n">
        <f aca="false">IF(Y$5="A",Inputs_Actuals!Y231,Y62+Y63)</f>
        <v>11730.0028282481</v>
      </c>
      <c r="Z131" s="65" t="n">
        <f aca="false">IF(Z$5="A",Inputs_Actuals!Z231,Z62+Z63)</f>
        <v>11730.002827924</v>
      </c>
      <c r="AA131" s="65" t="n">
        <f aca="false">IF(AA$5="A",Inputs_Actuals!AA231,AA62+AA63)</f>
        <v>11730.0028278652</v>
      </c>
      <c r="AB131" s="65" t="n">
        <f aca="false">IF(AB$5="A",Inputs_Actuals!AB231,AB62+AB63)</f>
        <v>11730.0028278684</v>
      </c>
    </row>
    <row r="132" customFormat="false" ht="15" hidden="false" customHeight="false" outlineLevel="0" collapsed="false">
      <c r="A132" s="59" t="s">
        <v>1184</v>
      </c>
      <c r="B132" s="60" t="s">
        <v>1173</v>
      </c>
      <c r="C132" s="61" t="n">
        <f aca="false">SUM(E132:P132)</f>
        <v>485220.347614589</v>
      </c>
      <c r="D132" s="61" t="n">
        <f aca="false">SUM(Q132:AB132)</f>
        <v>577661.630144802</v>
      </c>
      <c r="E132" s="61" t="n">
        <f aca="false">E130+E131</f>
        <v>40674.43</v>
      </c>
      <c r="F132" s="61" t="n">
        <f aca="false">F130+F131</f>
        <v>40588.85</v>
      </c>
      <c r="G132" s="61" t="n">
        <f aca="false">G130+G131</f>
        <v>40643.68</v>
      </c>
      <c r="H132" s="61" t="n">
        <f aca="false">H130+H131</f>
        <v>40628.38</v>
      </c>
      <c r="I132" s="61" t="n">
        <f aca="false">I130+I131</f>
        <v>40669.82</v>
      </c>
      <c r="J132" s="61" t="n">
        <f aca="false">J130+J131</f>
        <v>40604.51</v>
      </c>
      <c r="K132" s="61" t="n">
        <f aca="false">K130+K131</f>
        <v>40600.73</v>
      </c>
      <c r="L132" s="61" t="n">
        <f aca="false">L130+L131</f>
        <v>40613.43</v>
      </c>
      <c r="M132" s="61" t="n">
        <f aca="false">M130+M131</f>
        <v>40297.490625</v>
      </c>
      <c r="N132" s="61" t="n">
        <f aca="false">N130+N131</f>
        <v>39961.678203125</v>
      </c>
      <c r="O132" s="61" t="n">
        <f aca="false">O130+O131</f>
        <v>39967.298593099</v>
      </c>
      <c r="P132" s="61" t="n">
        <f aca="false">P130+P131</f>
        <v>39970.0501933648</v>
      </c>
      <c r="Q132" s="61" t="n">
        <f aca="false">Q130+Q131</f>
        <v>48236.875861689</v>
      </c>
      <c r="R132" s="61" t="n">
        <f aca="false">R130+R131</f>
        <v>48179.8285293708</v>
      </c>
      <c r="S132" s="61" t="n">
        <f aca="false">S130+S131</f>
        <v>48123.2803384078</v>
      </c>
      <c r="T132" s="61" t="n">
        <f aca="false">T130+T131</f>
        <v>48124.2269677685</v>
      </c>
      <c r="U132" s="61" t="n">
        <f aca="false">U130+U131</f>
        <v>48124.6903141152</v>
      </c>
      <c r="V132" s="61" t="n">
        <f aca="false">V130+V131</f>
        <v>48124.6785643176</v>
      </c>
      <c r="W132" s="61" t="n">
        <f aca="false">W130+W131</f>
        <v>48124.6748010131</v>
      </c>
      <c r="X132" s="61" t="n">
        <f aca="false">X130+X131</f>
        <v>48124.6749302889</v>
      </c>
      <c r="Y132" s="61" t="n">
        <f aca="false">Y130+Y131</f>
        <v>48124.6749605725</v>
      </c>
      <c r="Z132" s="61" t="n">
        <f aca="false">Z130+Z131</f>
        <v>48124.6749592428</v>
      </c>
      <c r="AA132" s="61" t="n">
        <f aca="false">AA130+AA131</f>
        <v>48124.6749590015</v>
      </c>
      <c r="AB132" s="61" t="n">
        <f aca="false">AB130+AB131</f>
        <v>48124.6749590146</v>
      </c>
    </row>
    <row r="133" customFormat="false" ht="15" hidden="false" customHeight="false" outlineLevel="0" collapsed="false">
      <c r="A133" s="28" t="s">
        <v>1185</v>
      </c>
      <c r="B133" s="63"/>
      <c r="C133" s="64" t="n">
        <f aca="false">SUM(E133:P133)</f>
        <v>314635.258147941</v>
      </c>
      <c r="D133" s="64" t="n">
        <f aca="false">SUM(Q133:AB133)</f>
        <v>374452.49952667</v>
      </c>
      <c r="E133" s="65" t="n">
        <f aca="false">IF(E$5="A",Inputs_Actuals!E229,E13*Assumptions!$D$80*IF(Assumptions!E$191=2027,1+Assumptions!$F$175,1)/14+E14*Assumptions!$D$81*IF(Assumptions!E$191=2027,1+Assumptions!$F$175,1)/14)</f>
        <v>26365.62</v>
      </c>
      <c r="F133" s="65" t="n">
        <f aca="false">IF(F$5="A",Inputs_Actuals!F229,F13*Assumptions!$D$80*IF(Assumptions!F$191=2027,1+Assumptions!$F$175,1)/14+F14*Assumptions!$D$81*IF(Assumptions!F$191=2027,1+Assumptions!$F$175,1)/14)</f>
        <v>26296.67</v>
      </c>
      <c r="G133" s="65" t="n">
        <f aca="false">IF(G$5="A",Inputs_Actuals!G229,G13*Assumptions!$D$80*IF(Assumptions!G$191=2027,1+Assumptions!$F$175,1)/14+G14*Assumptions!$D$81*IF(Assumptions!G$191=2027,1+Assumptions!$F$175,1)/14)</f>
        <v>26314.1</v>
      </c>
      <c r="H133" s="65" t="n">
        <f aca="false">IF(H$5="A",Inputs_Actuals!H229,H13*Assumptions!$D$80*IF(Assumptions!H$191=2027,1+Assumptions!$F$175,1)/14+H14*Assumptions!$D$81*IF(Assumptions!H$191=2027,1+Assumptions!$F$175,1)/14)</f>
        <v>26357.26</v>
      </c>
      <c r="I133" s="65" t="n">
        <f aca="false">IF(I$5="A",Inputs_Actuals!I229,I13*Assumptions!$D$80*IF(Assumptions!I$191=2027,1+Assumptions!$F$175,1)/14+I14*Assumptions!$D$81*IF(Assumptions!I$191=2027,1+Assumptions!$F$175,1)/14)</f>
        <v>26378.76</v>
      </c>
      <c r="J133" s="65" t="n">
        <f aca="false">IF(J$5="A",Inputs_Actuals!J229,J13*Assumptions!$D$80*IF(Assumptions!J$191=2027,1+Assumptions!$F$175,1)/14+J14*Assumptions!$D$81*IF(Assumptions!J$191=2027,1+Assumptions!$F$175,1)/14)</f>
        <v>26360.29</v>
      </c>
      <c r="K133" s="65" t="n">
        <f aca="false">IF(K$5="A",Inputs_Actuals!K229,K13*Assumptions!$D$80*IF(Assumptions!K$191=2027,1+Assumptions!$F$175,1)/14+K14*Assumptions!$D$81*IF(Assumptions!K$191=2027,1+Assumptions!$F$175,1)/14)</f>
        <v>26326.89</v>
      </c>
      <c r="L133" s="65" t="n">
        <f aca="false">IF(L$5="A",Inputs_Actuals!L229,L13*Assumptions!$D$80*IF(Assumptions!L$191=2027,1+Assumptions!$F$175,1)/14+L14*Assumptions!$D$81*IF(Assumptions!L$191=2027,1+Assumptions!$F$175,1)/14)</f>
        <v>26330.03</v>
      </c>
      <c r="M133" s="65" t="n">
        <f aca="false">IF(M$5="A",Inputs_Actuals!M229,M13*Assumptions!$D$80*IF(Assumptions!M$191=2027,1+Assumptions!$F$175,1)/14+M14*Assumptions!$D$81*IF(Assumptions!M$191=2027,1+Assumptions!$F$175,1)/14)</f>
        <v>26137.5</v>
      </c>
      <c r="N133" s="65" t="n">
        <f aca="false">IF(N$5="A",Inputs_Actuals!N229,N13*Assumptions!$D$80*IF(Assumptions!N$191=2027,1+Assumptions!$F$175,1)/14+N14*Assumptions!$D$81*IF(Assumptions!N$191=2027,1+Assumptions!$F$175,1)/14)</f>
        <v>25919.6875</v>
      </c>
      <c r="O133" s="65" t="n">
        <f aca="false">IF(O$5="A",Inputs_Actuals!O229,O13*Assumptions!$D$80*IF(Assumptions!O$191=2027,1+Assumptions!$F$175,1)/14+O14*Assumptions!$D$81*IF(Assumptions!O$191=2027,1+Assumptions!$F$175,1)/14)</f>
        <v>25923.3329613095</v>
      </c>
      <c r="P133" s="65" t="n">
        <f aca="false">IF(P$5="A",Inputs_Actuals!P229,P13*Assumptions!$D$80*IF(Assumptions!P$191=2027,1+Assumptions!$F$175,1)/14+P14*Assumptions!$D$81*IF(Assumptions!P$191=2027,1+Assumptions!$F$175,1)/14)</f>
        <v>25925.1176866319</v>
      </c>
      <c r="Q133" s="65" t="n">
        <f aca="false">IF(Q$5="A",Inputs_Actuals!Q229,Q13*Assumptions!$D$80*IF(Assumptions!Q$191=2027,1+Assumptions!$F$175,1)/14+Q14*Assumptions!$D$81*IF(Assumptions!Q$191=2027,1+Assumptions!$F$175,1)/14)</f>
        <v>31268.1642560186</v>
      </c>
      <c r="R133" s="65" t="n">
        <f aca="false">IF(R$5="A",Inputs_Actuals!R229,R13*Assumptions!$D$80*IF(Assumptions!R$191=2027,1+Assumptions!$F$175,1)/14+R14*Assumptions!$D$81*IF(Assumptions!R$191=2027,1+Assumptions!$F$175,1)/14)</f>
        <v>31231.1849673431</v>
      </c>
      <c r="S133" s="65" t="n">
        <f aca="false">IF(S$5="A",Inputs_Actuals!S229,S13*Assumptions!$D$80*IF(Assumptions!S$191=2027,1+Assumptions!$F$175,1)/14+S14*Assumptions!$D$81*IF(Assumptions!S$191=2027,1+Assumptions!$F$175,1)/14)</f>
        <v>31194.5292326625</v>
      </c>
      <c r="T133" s="65" t="n">
        <f aca="false">IF(T$5="A",Inputs_Actuals!T229,T13*Assumptions!$D$80*IF(Assumptions!T$191=2027,1+Assumptions!$F$175,1)/14+T14*Assumptions!$D$81*IF(Assumptions!T$191=2027,1+Assumptions!$F$175,1)/14)</f>
        <v>31195.1428578571</v>
      </c>
      <c r="U133" s="65" t="n">
        <f aca="false">IF(U$5="A",Inputs_Actuals!U229,U13*Assumptions!$D$80*IF(Assumptions!U$191=2027,1+Assumptions!$F$175,1)/14+U14*Assumptions!$D$81*IF(Assumptions!U$191=2027,1+Assumptions!$F$175,1)/14)</f>
        <v>31195.4432087695</v>
      </c>
      <c r="V133" s="65" t="n">
        <f aca="false">IF(V$5="A",Inputs_Actuals!V229,V13*Assumptions!$D$80*IF(Assumptions!V$191=2027,1+Assumptions!$F$175,1)/14+V14*Assumptions!$D$81*IF(Assumptions!V$191=2027,1+Assumptions!$F$175,1)/14)</f>
        <v>31195.4355923019</v>
      </c>
      <c r="W133" s="65" t="n">
        <f aca="false">IF(W$5="A",Inputs_Actuals!W229,W13*Assumptions!$D$80*IF(Assumptions!W$191=2027,1+Assumptions!$F$175,1)/14+W14*Assumptions!$D$81*IF(Assumptions!W$191=2027,1+Assumptions!$F$175,1)/14)</f>
        <v>31195.4331528482</v>
      </c>
      <c r="X133" s="65" t="n">
        <f aca="false">IF(X$5="A",Inputs_Actuals!X229,X13*Assumptions!$D$80*IF(Assumptions!X$191=2027,1+Assumptions!$F$175,1)/14+X14*Assumptions!$D$81*IF(Assumptions!X$191=2027,1+Assumptions!$F$175,1)/14)</f>
        <v>31195.4332366476</v>
      </c>
      <c r="Y133" s="65" t="n">
        <f aca="false">IF(Y$5="A",Inputs_Actuals!Y229,Y13*Assumptions!$D$80*IF(Assumptions!Y$191=2027,1+Assumptions!$F$175,1)/14+Y14*Assumptions!$D$81*IF(Assumptions!Y$191=2027,1+Assumptions!$F$175,1)/14)</f>
        <v>31195.433256278</v>
      </c>
      <c r="Z133" s="65" t="n">
        <f aca="false">IF(Z$5="A",Inputs_Actuals!Z229,Z13*Assumptions!$D$80*IF(Assumptions!Z$191=2027,1+Assumptions!$F$175,1)/14+Z14*Assumptions!$D$81*IF(Assumptions!Z$191=2027,1+Assumptions!$F$175,1)/14)</f>
        <v>31195.4332554161</v>
      </c>
      <c r="AA133" s="65" t="n">
        <f aca="false">IF(AA$5="A",Inputs_Actuals!AA229,AA13*Assumptions!$D$80*IF(Assumptions!AA$191=2027,1+Assumptions!$F$175,1)/14+AA14*Assumptions!$D$81*IF(Assumptions!AA$191=2027,1+Assumptions!$F$175,1)/14)</f>
        <v>31195.4332552597</v>
      </c>
      <c r="AB133" s="65" t="n">
        <f aca="false">IF(AB$5="A",Inputs_Actuals!AB229,AB13*Assumptions!$D$80*IF(Assumptions!AB$191=2027,1+Assumptions!$F$175,1)/14+AB14*Assumptions!$D$81*IF(Assumptions!AB$191=2027,1+Assumptions!$F$175,1)/14)</f>
        <v>31195.4332552682</v>
      </c>
    </row>
    <row r="134" customFormat="false" ht="15" hidden="false" customHeight="false" outlineLevel="0" collapsed="false">
      <c r="A134" s="28" t="s">
        <v>1186</v>
      </c>
      <c r="B134" s="63"/>
      <c r="C134" s="64" t="n">
        <f aca="false">SUM(E134:P134)</f>
        <v>52460.4863579902</v>
      </c>
      <c r="D134" s="64" t="n">
        <f aca="false">SUM(Q134:AB134)</f>
        <v>62408.7499211117</v>
      </c>
      <c r="E134" s="65" t="n">
        <f aca="false">IF(E$5="A",Inputs_Actuals!E228,E92+E93)</f>
        <v>4392.86</v>
      </c>
      <c r="F134" s="65" t="n">
        <f aca="false">IF(F$5="A",Inputs_Actuals!F228,F92+F93)</f>
        <v>4392.86</v>
      </c>
      <c r="G134" s="65" t="n">
        <f aca="false">IF(G$5="A",Inputs_Actuals!G228,G92+G93)</f>
        <v>4392.86</v>
      </c>
      <c r="H134" s="65" t="n">
        <f aca="false">IF(H$5="A",Inputs_Actuals!H228,H92+H93)</f>
        <v>4392.86</v>
      </c>
      <c r="I134" s="65" t="n">
        <f aca="false">IF(I$5="A",Inputs_Actuals!I228,I92+I93)</f>
        <v>4392.86</v>
      </c>
      <c r="J134" s="65" t="n">
        <f aca="false">IF(J$5="A",Inputs_Actuals!J228,J92+J93)</f>
        <v>4392.86</v>
      </c>
      <c r="K134" s="65" t="n">
        <f aca="false">IF(K$5="A",Inputs_Actuals!K228,K92+K93)</f>
        <v>4392.86</v>
      </c>
      <c r="L134" s="65" t="n">
        <f aca="false">IF(L$5="A",Inputs_Actuals!L228,L92+L93)</f>
        <v>4392.86</v>
      </c>
      <c r="M134" s="65" t="n">
        <f aca="false">IF(M$5="A",Inputs_Actuals!M228,M92+M93)</f>
        <v>4356.25</v>
      </c>
      <c r="N134" s="65" t="n">
        <f aca="false">IF(N$5="A",Inputs_Actuals!N228,N92+N93)</f>
        <v>4319.94791666667</v>
      </c>
      <c r="O134" s="65" t="n">
        <f aca="false">IF(O$5="A",Inputs_Actuals!O228,O92+O93)</f>
        <v>4320.55549355159</v>
      </c>
      <c r="P134" s="65" t="n">
        <f aca="false">IF(P$5="A",Inputs_Actuals!P228,P92+P93)</f>
        <v>4320.85294777199</v>
      </c>
      <c r="Q134" s="65" t="n">
        <f aca="false">IF(Q$5="A",Inputs_Actuals!Q228,Q92+Q93)</f>
        <v>5211.36070933644</v>
      </c>
      <c r="R134" s="65" t="n">
        <f aca="false">IF(R$5="A",Inputs_Actuals!R228,R92+R93)</f>
        <v>5205.19749455719</v>
      </c>
      <c r="S134" s="65" t="n">
        <f aca="false">IF(S$5="A",Inputs_Actuals!S228,S92+S93)</f>
        <v>5199.08820544374</v>
      </c>
      <c r="T134" s="65" t="n">
        <f aca="false">IF(T$5="A",Inputs_Actuals!T228,T92+T93)</f>
        <v>5199.19047630952</v>
      </c>
      <c r="U134" s="65" t="n">
        <f aca="false">IF(U$5="A",Inputs_Actuals!U228,U92+U93)</f>
        <v>5199.24053479491</v>
      </c>
      <c r="V134" s="65" t="n">
        <f aca="false">IF(V$5="A",Inputs_Actuals!V228,V92+V93)</f>
        <v>5199.23926538365</v>
      </c>
      <c r="W134" s="65" t="n">
        <f aca="false">IF(W$5="A",Inputs_Actuals!W228,W92+W93)</f>
        <v>5199.23885880804</v>
      </c>
      <c r="X134" s="65" t="n">
        <f aca="false">IF(X$5="A",Inputs_Actuals!X228,X92+X93)</f>
        <v>5199.23887277459</v>
      </c>
      <c r="Y134" s="65" t="n">
        <f aca="false">IF(Y$5="A",Inputs_Actuals!Y228,Y92+Y93)</f>
        <v>5199.23887604634</v>
      </c>
      <c r="Z134" s="65" t="n">
        <f aca="false">IF(Z$5="A",Inputs_Actuals!Z228,Z92+Z93)</f>
        <v>5199.23887590268</v>
      </c>
      <c r="AA134" s="65" t="n">
        <f aca="false">IF(AA$5="A",Inputs_Actuals!AA228,AA92+AA93)</f>
        <v>5199.23887587662</v>
      </c>
      <c r="AB134" s="65" t="n">
        <f aca="false">IF(AB$5="A",Inputs_Actuals!AB228,AB92+AB93)</f>
        <v>5199.23887587803</v>
      </c>
    </row>
    <row r="135" customFormat="false" ht="15" hidden="false" customHeight="false" outlineLevel="0" collapsed="false">
      <c r="A135" s="28" t="s">
        <v>1187</v>
      </c>
      <c r="B135" s="63" t="s">
        <v>1177</v>
      </c>
      <c r="C135" s="64" t="n">
        <f aca="false">SUM(E135:P135)</f>
        <v>52460.4863579902</v>
      </c>
      <c r="D135" s="64" t="n">
        <f aca="false">SUM(Q135:AB135)</f>
        <v>62408.7499211117</v>
      </c>
      <c r="E135" s="65" t="n">
        <f aca="false">IF(E$5="A",Inputs_Actuals!E230,IF(Assumptions!E$211=1,SUM(E134:E134),0))</f>
        <v>0</v>
      </c>
      <c r="F135" s="65" t="n">
        <f aca="false">IF(F$5="A",Inputs_Actuals!F230,IF(Assumptions!F$211=1,SUM(E134:F134),0))</f>
        <v>0</v>
      </c>
      <c r="G135" s="65" t="n">
        <f aca="false">IF(G$5="A",Inputs_Actuals!G230,IF(Assumptions!G$211=1,SUM(E134:G134),0))</f>
        <v>0</v>
      </c>
      <c r="H135" s="65" t="n">
        <f aca="false">IF(H$5="A",Inputs_Actuals!H230,IF(Assumptions!H$211=1,SUM(E134:H134),0))</f>
        <v>0</v>
      </c>
      <c r="I135" s="65" t="n">
        <f aca="false">IF(I$5="A",Inputs_Actuals!I230,IF(Assumptions!I$211=1,SUM(E134:I134),0))</f>
        <v>0</v>
      </c>
      <c r="J135" s="65" t="n">
        <f aca="false">IF(J$5="A",Inputs_Actuals!J230,IF(Assumptions!J$211=1,SUM(E134:J134),0))</f>
        <v>26357.16</v>
      </c>
      <c r="K135" s="65" t="n">
        <f aca="false">IF(K$5="A",Inputs_Actuals!K230,IF(Assumptions!K$211=1,SUM(F134:K134),0))</f>
        <v>0</v>
      </c>
      <c r="L135" s="65" t="n">
        <f aca="false">IF(L$5="A",Inputs_Actuals!L230,IF(Assumptions!L$211=1,SUM(G134:L134),0))</f>
        <v>0</v>
      </c>
      <c r="M135" s="65" t="n">
        <f aca="false">IF(M$5="A",Inputs_Actuals!M230,IF(Assumptions!M$211=1,SUM(H134:M134),0))</f>
        <v>0</v>
      </c>
      <c r="N135" s="65" t="n">
        <f aca="false">IF(N$5="A",Inputs_Actuals!N230,IF(Assumptions!N$211=1,SUM(I134:N134),0))</f>
        <v>0</v>
      </c>
      <c r="O135" s="65" t="n">
        <f aca="false">IF(O$5="A",Inputs_Actuals!O230,IF(Assumptions!O$211=1,SUM(J134:O134),0))</f>
        <v>0</v>
      </c>
      <c r="P135" s="65" t="n">
        <f aca="false">IF(P$5="A",Inputs_Actuals!P230,IF(Assumptions!P$211=1,SUM(K134:P134),0))</f>
        <v>26103.3263579902</v>
      </c>
      <c r="Q135" s="65" t="n">
        <f aca="false">IF(Q$5="A",Inputs_Actuals!Q230,IF(Assumptions!Q$211=1,SUM(L134:Q134),0))</f>
        <v>0</v>
      </c>
      <c r="R135" s="65" t="n">
        <f aca="false">IF(R$5="A",Inputs_Actuals!R230,IF(Assumptions!R$211=1,SUM(M134:R134),0))</f>
        <v>0</v>
      </c>
      <c r="S135" s="65" t="n">
        <f aca="false">IF(S$5="A",Inputs_Actuals!S230,IF(Assumptions!S$211=1,SUM(N134:S134),0))</f>
        <v>0</v>
      </c>
      <c r="T135" s="65" t="n">
        <f aca="false">IF(T$5="A",Inputs_Actuals!T230,IF(Assumptions!T$211=1,SUM(O134:T134),0))</f>
        <v>0</v>
      </c>
      <c r="U135" s="65" t="n">
        <f aca="false">IF(U$5="A",Inputs_Actuals!U230,IF(Assumptions!U$211=1,SUM(P134:U134),0))</f>
        <v>0</v>
      </c>
      <c r="V135" s="65" t="n">
        <f aca="false">IF(V$5="A",Inputs_Actuals!V230,IF(Assumptions!V$211=1,SUM(Q134:V134),0))</f>
        <v>31213.3166858255</v>
      </c>
      <c r="W135" s="65" t="n">
        <f aca="false">IF(W$5="A",Inputs_Actuals!W230,IF(Assumptions!W$211=1,SUM(R134:W134),0))</f>
        <v>0</v>
      </c>
      <c r="X135" s="65" t="n">
        <f aca="false">IF(X$5="A",Inputs_Actuals!X230,IF(Assumptions!X$211=1,SUM(S134:X134),0))</f>
        <v>0</v>
      </c>
      <c r="Y135" s="65" t="n">
        <f aca="false">IF(Y$5="A",Inputs_Actuals!Y230,IF(Assumptions!Y$211=1,SUM(T134:Y134),0))</f>
        <v>0</v>
      </c>
      <c r="Z135" s="65" t="n">
        <f aca="false">IF(Z$5="A",Inputs_Actuals!Z230,IF(Assumptions!Z$211=1,SUM(U134:Z134),0))</f>
        <v>0</v>
      </c>
      <c r="AA135" s="65" t="n">
        <f aca="false">IF(AA$5="A",Inputs_Actuals!AA230,IF(Assumptions!AA$211=1,SUM(V134:AA134),0))</f>
        <v>0</v>
      </c>
      <c r="AB135" s="65" t="n">
        <f aca="false">IF(AB$5="A",Inputs_Actuals!AB230,IF(Assumptions!AB$211=1,SUM(W134:AB134),0))</f>
        <v>31195.4332352863</v>
      </c>
    </row>
    <row r="136" customFormat="false" ht="15" hidden="false" customHeight="false" outlineLevel="0" collapsed="false">
      <c r="A136" s="28" t="s">
        <v>1188</v>
      </c>
      <c r="B136" s="63"/>
      <c r="C136" s="64" t="n">
        <f aca="false">SUM(E136:P136)</f>
        <v>23879.0408928856</v>
      </c>
      <c r="D136" s="64" t="n">
        <f aca="false">SUM(Q136:AB136)</f>
        <v>28483.3534639954</v>
      </c>
      <c r="E136" s="65" t="n">
        <f aca="false">IF(E$5="A",Inputs_Actuals!E232,E77+E78)</f>
        <v>2001.42</v>
      </c>
      <c r="F136" s="65" t="n">
        <f aca="false">IF(F$5="A",Inputs_Actuals!F232,F77+F78)</f>
        <v>1995.1</v>
      </c>
      <c r="G136" s="65" t="n">
        <f aca="false">IF(G$5="A",Inputs_Actuals!G232,G77+G78)</f>
        <v>2001.16</v>
      </c>
      <c r="H136" s="65" t="n">
        <f aca="false">IF(H$5="A",Inputs_Actuals!H232,H77+H78)</f>
        <v>2000.59</v>
      </c>
      <c r="I136" s="65" t="n">
        <f aca="false">IF(I$5="A",Inputs_Actuals!I232,I77+I78)</f>
        <v>2008.7</v>
      </c>
      <c r="J136" s="65" t="n">
        <f aca="false">IF(J$5="A",Inputs_Actuals!J232,J77+J78)</f>
        <v>1996.7</v>
      </c>
      <c r="K136" s="65" t="n">
        <f aca="false">IF(K$5="A",Inputs_Actuals!K232,K77+K78)</f>
        <v>1995.09</v>
      </c>
      <c r="L136" s="65" t="n">
        <f aca="false">IF(L$5="A",Inputs_Actuals!L232,L77+L78)</f>
        <v>2000.77</v>
      </c>
      <c r="M136" s="65" t="n">
        <f aca="false">IF(M$5="A",Inputs_Actuals!M232,M77+M78)</f>
        <v>1982.09375</v>
      </c>
      <c r="N136" s="65" t="n">
        <f aca="false">IF(N$5="A",Inputs_Actuals!N232,N77+N78)</f>
        <v>1965.57630208333</v>
      </c>
      <c r="O136" s="65" t="n">
        <f aca="false">IF(O$5="A",Inputs_Actuals!O232,O77+O78)</f>
        <v>1965.85274956597</v>
      </c>
      <c r="P136" s="65" t="n">
        <f aca="false">IF(P$5="A",Inputs_Actuals!P232,P77+P78)</f>
        <v>1965.98809123626</v>
      </c>
      <c r="Q136" s="65" t="n">
        <f aca="false">IF(Q$5="A",Inputs_Actuals!Q232,Q77+Q78)</f>
        <v>2378.46502774115</v>
      </c>
      <c r="R136" s="65" t="n">
        <f aca="false">IF(R$5="A",Inputs_Actuals!R232,R77+R78)</f>
        <v>2375.6521365159</v>
      </c>
      <c r="S136" s="65" t="n">
        <f aca="false">IF(S$5="A",Inputs_Actuals!S232,S77+S78)</f>
        <v>2372.86385696452</v>
      </c>
      <c r="T136" s="65" t="n">
        <f aca="false">IF(T$5="A",Inputs_Actuals!T232,T77+T78)</f>
        <v>2372.91053338766</v>
      </c>
      <c r="U136" s="65" t="n">
        <f aca="false">IF(U$5="A",Inputs_Actuals!U232,U77+U78)</f>
        <v>2372.9333800804</v>
      </c>
      <c r="V136" s="65" t="n">
        <f aca="false">IF(V$5="A",Inputs_Actuals!V232,V77+V78)</f>
        <v>2372.9328007211</v>
      </c>
      <c r="W136" s="65" t="n">
        <f aca="false">IF(W$5="A",Inputs_Actuals!W232,W77+W78)</f>
        <v>2372.93261515999</v>
      </c>
      <c r="X136" s="65" t="n">
        <f aca="false">IF(X$5="A",Inputs_Actuals!X232,X77+X78)</f>
        <v>2372.93262153432</v>
      </c>
      <c r="Y136" s="65" t="n">
        <f aca="false">IF(Y$5="A",Inputs_Actuals!Y232,Y77+Y78)</f>
        <v>2372.93262302755</v>
      </c>
      <c r="Z136" s="65" t="n">
        <f aca="false">IF(Z$5="A",Inputs_Actuals!Z232,Z77+Z78)</f>
        <v>2372.93262296198</v>
      </c>
      <c r="AA136" s="65" t="n">
        <f aca="false">IF(AA$5="A",Inputs_Actuals!AA232,AA77+AA78)</f>
        <v>2372.93262295009</v>
      </c>
      <c r="AB136" s="65" t="n">
        <f aca="false">IF(AB$5="A",Inputs_Actuals!AB232,AB77+AB78)</f>
        <v>2372.93262295073</v>
      </c>
    </row>
    <row r="137" customFormat="false" ht="15" hidden="false" customHeight="false" outlineLevel="0" collapsed="false">
      <c r="A137" s="28" t="s">
        <v>1189</v>
      </c>
      <c r="B137" s="63"/>
      <c r="C137" s="64" t="n">
        <f aca="false">SUM(E137:P137)</f>
        <v>74370.1866138203</v>
      </c>
      <c r="D137" s="64" t="n">
        <f aca="false">SUM(Q137:AB137)</f>
        <v>89543.1631250284</v>
      </c>
      <c r="E137" s="65" t="n">
        <f aca="false">IF(E$5="A",Inputs_Actuals!E233,E107+E108)</f>
        <v>5337.86</v>
      </c>
      <c r="F137" s="65" t="n">
        <f aca="false">IF(F$5="A",Inputs_Actuals!F233,F107+F108)</f>
        <v>5337.86</v>
      </c>
      <c r="G137" s="65" t="n">
        <f aca="false">IF(G$5="A",Inputs_Actuals!G233,G107+G108)</f>
        <v>5337.86</v>
      </c>
      <c r="H137" s="65" t="n">
        <f aca="false">IF(H$5="A",Inputs_Actuals!H233,H107+H108)</f>
        <v>5337.86</v>
      </c>
      <c r="I137" s="65" t="n">
        <f aca="false">IF(I$5="A",Inputs_Actuals!I233,I107+I108)</f>
        <v>5337.86</v>
      </c>
      <c r="J137" s="65" t="n">
        <f aca="false">IF(J$5="A",Inputs_Actuals!J233,J107+J108)</f>
        <v>10675.71</v>
      </c>
      <c r="K137" s="65" t="n">
        <f aca="false">IF(K$5="A",Inputs_Actuals!K233,K107+K108)</f>
        <v>5337.86</v>
      </c>
      <c r="L137" s="65" t="n">
        <f aca="false">IF(L$5="A",Inputs_Actuals!L233,L107+L108)</f>
        <v>5337.86</v>
      </c>
      <c r="M137" s="65" t="n">
        <f aca="false">IF(M$5="A",Inputs_Actuals!M233,M107+M108)</f>
        <v>5293.375</v>
      </c>
      <c r="N137" s="65" t="n">
        <f aca="false">IF(N$5="A",Inputs_Actuals!N233,N107+N108)</f>
        <v>5249.26354166667</v>
      </c>
      <c r="O137" s="65" t="n">
        <f aca="false">IF(O$5="A",Inputs_Actuals!O233,O107+O108)</f>
        <v>5250.00182167659</v>
      </c>
      <c r="P137" s="65" t="n">
        <f aca="false">IF(P$5="A",Inputs_Actuals!P233,P107+P108)</f>
        <v>10536.8162504771</v>
      </c>
      <c r="Q137" s="65" t="n">
        <f aca="false">IF(Q$5="A",Inputs_Actuals!Q233,Q107+Q108)</f>
        <v>6409.97363684317</v>
      </c>
      <c r="R137" s="65" t="n">
        <f aca="false">IF(R$5="A",Inputs_Actuals!R233,R107+R108)</f>
        <v>6401.83845558144</v>
      </c>
      <c r="S137" s="65" t="n">
        <f aca="false">IF(S$5="A",Inputs_Actuals!S233,S107+S108)</f>
        <v>6393.77418494408</v>
      </c>
      <c r="T137" s="65" t="n">
        <f aca="false">IF(T$5="A",Inputs_Actuals!T233,T107+T108)</f>
        <v>6393.90918037657</v>
      </c>
      <c r="U137" s="65" t="n">
        <f aca="false">IF(U$5="A",Inputs_Actuals!U233,U107+U108)</f>
        <v>6393.97525766995</v>
      </c>
      <c r="V137" s="65" t="n">
        <f aca="false">IF(V$5="A",Inputs_Actuals!V233,V107+V108)</f>
        <v>12791.8809649771</v>
      </c>
      <c r="W137" s="65" t="n">
        <f aca="false">IF(W$5="A",Inputs_Actuals!W233,W107+W108)</f>
        <v>6393.97304538317</v>
      </c>
      <c r="X137" s="65" t="n">
        <f aca="false">IF(X$5="A",Inputs_Actuals!X233,X107+X108)</f>
        <v>6393.97306381889</v>
      </c>
      <c r="Y137" s="65" t="n">
        <f aca="false">IF(Y$5="A",Inputs_Actuals!Y233,Y107+Y108)</f>
        <v>6393.9730681376</v>
      </c>
      <c r="Z137" s="65" t="n">
        <f aca="false">IF(Z$5="A",Inputs_Actuals!Z233,Z107+Z108)</f>
        <v>6393.97306794798</v>
      </c>
      <c r="AA137" s="65" t="n">
        <f aca="false">IF(AA$5="A",Inputs_Actuals!AA233,AA107+AA108)</f>
        <v>6393.97306791357</v>
      </c>
      <c r="AB137" s="65" t="n">
        <f aca="false">IF(AB$5="A",Inputs_Actuals!AB233,AB107+AB108)</f>
        <v>12787.9461314349</v>
      </c>
    </row>
    <row r="138" customFormat="false" ht="15" hidden="false" customHeight="false" outlineLevel="0" collapsed="false">
      <c r="A138" s="28" t="s">
        <v>1190</v>
      </c>
      <c r="B138" s="63"/>
      <c r="C138" s="64" t="n">
        <f aca="false">SUM(E138:P138)</f>
        <v>268846.516999226</v>
      </c>
      <c r="D138" s="64" t="n">
        <f aca="false">SUM(Q138:AB138)</f>
        <v>318834.732858758</v>
      </c>
      <c r="E138" s="74" t="n">
        <f aca="false">E133+E135-E137-E136</f>
        <v>19026.34</v>
      </c>
      <c r="F138" s="74" t="n">
        <f aca="false">F133+F135-F137-F136</f>
        <v>18963.71</v>
      </c>
      <c r="G138" s="74" t="n">
        <f aca="false">G133+G135-G137-G136</f>
        <v>18975.08</v>
      </c>
      <c r="H138" s="74" t="n">
        <f aca="false">H133+H135-H137-H136</f>
        <v>19018.81</v>
      </c>
      <c r="I138" s="74" t="n">
        <f aca="false">I133+I135-I137-I136</f>
        <v>19032.2</v>
      </c>
      <c r="J138" s="74" t="n">
        <f aca="false">J133+J135-J137-J136</f>
        <v>40045.04</v>
      </c>
      <c r="K138" s="74" t="n">
        <f aca="false">K133+K135-K137-K136</f>
        <v>18993.94</v>
      </c>
      <c r="L138" s="74" t="n">
        <f aca="false">L133+L135-L137-L136</f>
        <v>18991.4</v>
      </c>
      <c r="M138" s="74" t="n">
        <f aca="false">M133+M135-M137-M136</f>
        <v>18862.03125</v>
      </c>
      <c r="N138" s="74" t="n">
        <f aca="false">N133+N135-N137-N136</f>
        <v>18704.84765625</v>
      </c>
      <c r="O138" s="74" t="n">
        <f aca="false">O133+O135-O137-O136</f>
        <v>18707.478390067</v>
      </c>
      <c r="P138" s="74" t="n">
        <f aca="false">P133+P135-P137-P136</f>
        <v>39525.6397029088</v>
      </c>
      <c r="Q138" s="74" t="n">
        <f aca="false">Q133+Q135-Q137-Q136</f>
        <v>22479.7255914343</v>
      </c>
      <c r="R138" s="74" t="n">
        <f aca="false">R133+R135-R137-R136</f>
        <v>22453.6943752458</v>
      </c>
      <c r="S138" s="74" t="n">
        <f aca="false">S133+S135-S137-S136</f>
        <v>22427.8911907539</v>
      </c>
      <c r="T138" s="74" t="n">
        <f aca="false">T133+T135-T137-T136</f>
        <v>22428.3231440929</v>
      </c>
      <c r="U138" s="74" t="n">
        <f aca="false">U133+U135-U137-U136</f>
        <v>22428.5345710191</v>
      </c>
      <c r="V138" s="74" t="n">
        <f aca="false">V133+V135-V137-V136</f>
        <v>47243.9385124292</v>
      </c>
      <c r="W138" s="74" t="n">
        <f aca="false">W133+W135-W137-W136</f>
        <v>22428.5274923051</v>
      </c>
      <c r="X138" s="74" t="n">
        <f aca="false">X133+X135-X137-X136</f>
        <v>22428.5275512943</v>
      </c>
      <c r="Y138" s="74" t="n">
        <f aca="false">Y133+Y135-Y137-Y136</f>
        <v>22428.5275651129</v>
      </c>
      <c r="Z138" s="74" t="n">
        <f aca="false">Z133+Z135-Z137-Z136</f>
        <v>22428.5275645061</v>
      </c>
      <c r="AA138" s="74" t="n">
        <f aca="false">AA133+AA135-AA137-AA136</f>
        <v>22428.527564396</v>
      </c>
      <c r="AB138" s="74" t="n">
        <f aca="false">AB133+AB135-AB137-AB136</f>
        <v>47229.9877361689</v>
      </c>
    </row>
    <row r="139" customFormat="false" ht="15" hidden="false" customHeight="false" outlineLevel="0" collapsed="false">
      <c r="A139" s="28" t="s">
        <v>1191</v>
      </c>
      <c r="B139" s="63"/>
      <c r="C139" s="68" t="n">
        <f aca="false">P139</f>
        <v>7.6802677107446</v>
      </c>
      <c r="D139" s="68" t="n">
        <f aca="false">AB139</f>
        <v>8.64000000228609</v>
      </c>
      <c r="E139" s="80" t="n">
        <f aca="false">E15</f>
        <v>8</v>
      </c>
      <c r="F139" s="80" t="n">
        <f aca="false">F15</f>
        <v>8</v>
      </c>
      <c r="G139" s="80" t="n">
        <f aca="false">G15</f>
        <v>8</v>
      </c>
      <c r="H139" s="80" t="n">
        <f aca="false">H15</f>
        <v>8</v>
      </c>
      <c r="I139" s="80" t="n">
        <f aca="false">I15</f>
        <v>9</v>
      </c>
      <c r="J139" s="80" t="n">
        <f aca="false">J15</f>
        <v>9</v>
      </c>
      <c r="K139" s="80" t="n">
        <f aca="false">K15</f>
        <v>9</v>
      </c>
      <c r="L139" s="80" t="n">
        <f aca="false">L15</f>
        <v>8</v>
      </c>
      <c r="M139" s="80" t="n">
        <f aca="false">M15</f>
        <v>7.83333333333333</v>
      </c>
      <c r="N139" s="80" t="n">
        <f aca="false">N15</f>
        <v>7.67013888888889</v>
      </c>
      <c r="O139" s="80" t="n">
        <f aca="false">O15</f>
        <v>7.67701099537037</v>
      </c>
      <c r="P139" s="80" t="n">
        <f aca="false">P15</f>
        <v>7.6802677107446</v>
      </c>
      <c r="Q139" s="80" t="n">
        <f aca="false">Q15</f>
        <v>7.68005669362261</v>
      </c>
      <c r="R139" s="80" t="n">
        <f aca="false">R15</f>
        <v>7.67999324157568</v>
      </c>
      <c r="S139" s="80" t="n">
        <f aca="false">S15</f>
        <v>8.67999895968337</v>
      </c>
      <c r="T139" s="80" t="n">
        <f aca="false">T15</f>
        <v>8.65916682914044</v>
      </c>
      <c r="U139" s="80" t="n">
        <f aca="false">U15</f>
        <v>8.63876737939951</v>
      </c>
      <c r="V139" s="80" t="n">
        <f aca="false">V15</f>
        <v>8.63962637065542</v>
      </c>
      <c r="W139" s="80" t="n">
        <f aca="false">W15</f>
        <v>8.64003346354052</v>
      </c>
      <c r="X139" s="80" t="n">
        <f aca="false">X15</f>
        <v>8.64000708678759</v>
      </c>
      <c r="Y139" s="80" t="n">
        <f aca="false">Y15</f>
        <v>8.6399991552015</v>
      </c>
      <c r="Z139" s="80" t="n">
        <f aca="false">Z15</f>
        <v>8.63999986995856</v>
      </c>
      <c r="AA139" s="80" t="n">
        <f aca="false">AA15</f>
        <v>8.64000002030917</v>
      </c>
      <c r="AB139" s="80" t="n">
        <f aca="false">AB15</f>
        <v>8.64000000228609</v>
      </c>
    </row>
    <row r="140" customFormat="false" ht="15" hidden="false" customHeight="false" outlineLevel="0" collapsed="false">
      <c r="A140" s="28" t="s">
        <v>1192</v>
      </c>
      <c r="B140" s="63"/>
      <c r="C140" s="64" t="n">
        <f aca="false">SUM(E140:P140)</f>
        <v>220299.019588759</v>
      </c>
      <c r="D140" s="64" t="n">
        <f aca="false">SUM(Q140:AB140)</f>
        <v>237107.850276794</v>
      </c>
      <c r="E140" s="65" t="n">
        <f aca="false">IF(E$5="A",Inputs_Actuals!E234,E49)</f>
        <v>18038.46</v>
      </c>
      <c r="F140" s="65" t="n">
        <f aca="false">IF(F$5="A",Inputs_Actuals!F234,F49)</f>
        <v>18029.61</v>
      </c>
      <c r="G140" s="65" t="n">
        <f aca="false">IF(G$5="A",Inputs_Actuals!G234,G49)</f>
        <v>17995.46</v>
      </c>
      <c r="H140" s="65" t="n">
        <f aca="false">IF(H$5="A",Inputs_Actuals!H234,H49)</f>
        <v>17969.05</v>
      </c>
      <c r="I140" s="65" t="n">
        <f aca="false">IF(I$5="A",Inputs_Actuals!I234,I49)</f>
        <v>20266.69</v>
      </c>
      <c r="J140" s="65" t="n">
        <f aca="false">IF(J$5="A",Inputs_Actuals!J234,J49)</f>
        <v>20239.75</v>
      </c>
      <c r="K140" s="65" t="n">
        <f aca="false">IF(K$5="A",Inputs_Actuals!K234,K49)</f>
        <v>20291.02</v>
      </c>
      <c r="L140" s="65" t="n">
        <f aca="false">IF(L$5="A",Inputs_Actuals!L234,L49)</f>
        <v>18032.29</v>
      </c>
      <c r="M140" s="65" t="n">
        <f aca="false">IF(M$5="A",Inputs_Actuals!M234,M49)</f>
        <v>17625</v>
      </c>
      <c r="N140" s="65" t="n">
        <f aca="false">IF(N$5="A",Inputs_Actuals!N234,N49)</f>
        <v>17257.8125</v>
      </c>
      <c r="O140" s="65" t="n">
        <f aca="false">IF(O$5="A",Inputs_Actuals!O234,O49)</f>
        <v>17273.2747395833</v>
      </c>
      <c r="P140" s="65" t="n">
        <f aca="false">IF(P$5="A",Inputs_Actuals!P234,P49)</f>
        <v>17280.6023491753</v>
      </c>
      <c r="Q140" s="65" t="n">
        <f aca="false">IF(Q$5="A",Inputs_Actuals!Q234,Q49)</f>
        <v>17884.9320252736</v>
      </c>
      <c r="R140" s="65" t="n">
        <f aca="false">IF(R$5="A",Inputs_Actuals!R234,R49)</f>
        <v>17884.7842613194</v>
      </c>
      <c r="S140" s="65" t="n">
        <f aca="false">IF(S$5="A",Inputs_Actuals!S234,S49)</f>
        <v>20213.5475773626</v>
      </c>
      <c r="T140" s="65" t="n">
        <f aca="false">IF(T$5="A",Inputs_Actuals!T234,T49)</f>
        <v>20165.0347533608</v>
      </c>
      <c r="U140" s="65" t="n">
        <f aca="false">IF(U$5="A",Inputs_Actuals!U234,U49)</f>
        <v>20117.5295347766</v>
      </c>
      <c r="V140" s="65" t="n">
        <f aca="false">IF(V$5="A",Inputs_Actuals!V234,V49)</f>
        <v>20119.5299106638</v>
      </c>
      <c r="W140" s="65" t="n">
        <f aca="false">IF(W$5="A",Inputs_Actuals!W234,W49)</f>
        <v>20120.47792822</v>
      </c>
      <c r="X140" s="65" t="n">
        <f aca="false">IF(X$5="A",Inputs_Actuals!X234,X49)</f>
        <v>20120.4165033566</v>
      </c>
      <c r="Y140" s="65" t="n">
        <f aca="false">IF(Y$5="A",Inputs_Actuals!Y234,Y49)</f>
        <v>20120.3980326755</v>
      </c>
      <c r="Z140" s="65" t="n">
        <f aca="false">IF(Z$5="A",Inputs_Actuals!Z234,Z49)</f>
        <v>20120.399697166</v>
      </c>
      <c r="AA140" s="65" t="n">
        <f aca="false">IF(AA$5="A",Inputs_Actuals!AA234,AA49)</f>
        <v>20120.400047295</v>
      </c>
      <c r="AB140" s="65" t="n">
        <f aca="false">IF(AB$5="A",Inputs_Actuals!AB234,AB49)</f>
        <v>20120.4000053237</v>
      </c>
    </row>
    <row r="141" customFormat="false" ht="15" hidden="false" customHeight="false" outlineLevel="0" collapsed="false">
      <c r="A141" s="28" t="s">
        <v>1193</v>
      </c>
      <c r="B141" s="63"/>
      <c r="C141" s="64" t="n">
        <f aca="false">SUM(E141:P141)</f>
        <v>70781.5957027859</v>
      </c>
      <c r="D141" s="64" t="n">
        <f aca="false">SUM(Q141:AB141)</f>
        <v>76419.8601442106</v>
      </c>
      <c r="E141" s="65" t="n">
        <f aca="false">IF(E$5="A",Inputs_Actuals!E238,E64)</f>
        <v>5794.33</v>
      </c>
      <c r="F141" s="65" t="n">
        <f aca="false">IF(F$5="A",Inputs_Actuals!F238,F64)</f>
        <v>5777.62</v>
      </c>
      <c r="G141" s="65" t="n">
        <f aca="false">IF(G$5="A",Inputs_Actuals!G238,G64)</f>
        <v>5791.61</v>
      </c>
      <c r="H141" s="65" t="n">
        <f aca="false">IF(H$5="A",Inputs_Actuals!H238,H64)</f>
        <v>5790.6</v>
      </c>
      <c r="I141" s="65" t="n">
        <f aca="false">IF(I$5="A",Inputs_Actuals!I238,I64)</f>
        <v>6502.87</v>
      </c>
      <c r="J141" s="65" t="n">
        <f aca="false">IF(J$5="A",Inputs_Actuals!J238,J64)</f>
        <v>6508.64</v>
      </c>
      <c r="K141" s="65" t="n">
        <f aca="false">IF(K$5="A",Inputs_Actuals!K238,K64)</f>
        <v>6497.11</v>
      </c>
      <c r="L141" s="65" t="n">
        <f aca="false">IF(L$5="A",Inputs_Actuals!L238,L64)</f>
        <v>5794.92</v>
      </c>
      <c r="M141" s="65" t="n">
        <f aca="false">IF(M$5="A",Inputs_Actuals!M238,M64)</f>
        <v>5666.4375</v>
      </c>
      <c r="N141" s="65" t="n">
        <f aca="false">IF(N$5="A",Inputs_Actuals!N238,N64)</f>
        <v>5548.38671875</v>
      </c>
      <c r="O141" s="65" t="n">
        <f aca="false">IF(O$5="A",Inputs_Actuals!O238,O64)</f>
        <v>5553.35782877604</v>
      </c>
      <c r="P141" s="65" t="n">
        <f aca="false">IF(P$5="A",Inputs_Actuals!P238,P64)</f>
        <v>5555.71365525987</v>
      </c>
      <c r="Q141" s="65" t="n">
        <f aca="false">IF(Q$5="A",Inputs_Actuals!Q238,Q64)</f>
        <v>5764.3135917457</v>
      </c>
      <c r="R141" s="65" t="n">
        <f aca="false">IF(R$5="A",Inputs_Actuals!R238,R64)</f>
        <v>5764.26596742323</v>
      </c>
      <c r="S141" s="65" t="n">
        <f aca="false">IF(S$5="A",Inputs_Actuals!S238,S64)</f>
        <v>6514.82638418398</v>
      </c>
      <c r="T141" s="65" t="n">
        <f aca="false">IF(T$5="A",Inputs_Actuals!T238,T64)</f>
        <v>6499.19070100818</v>
      </c>
      <c r="U141" s="65" t="n">
        <f aca="false">IF(U$5="A",Inputs_Actuals!U238,U64)</f>
        <v>6483.8797690585</v>
      </c>
      <c r="V141" s="65" t="n">
        <f aca="false">IF(V$5="A",Inputs_Actuals!V238,V64)</f>
        <v>6484.52449020694</v>
      </c>
      <c r="W141" s="65" t="n">
        <f aca="false">IF(W$5="A",Inputs_Actuals!W238,W64)</f>
        <v>6484.8300362653</v>
      </c>
      <c r="X141" s="65" t="n">
        <f aca="false">IF(X$5="A",Inputs_Actuals!X238,X64)</f>
        <v>6484.81023903183</v>
      </c>
      <c r="Y141" s="65" t="n">
        <f aca="false">IF(Y$5="A",Inputs_Actuals!Y238,Y64)</f>
        <v>6484.80428593131</v>
      </c>
      <c r="Z141" s="65" t="n">
        <f aca="false">IF(Z$5="A",Inputs_Actuals!Z238,Z64)</f>
        <v>6484.8048223966</v>
      </c>
      <c r="AA141" s="65" t="n">
        <f aca="false">IF(AA$5="A",Inputs_Actuals!AA238,AA64)</f>
        <v>6484.80493524317</v>
      </c>
      <c r="AB141" s="65" t="n">
        <f aca="false">IF(AB$5="A",Inputs_Actuals!AB238,AB64)</f>
        <v>6484.80492171584</v>
      </c>
    </row>
    <row r="142" customFormat="false" ht="15" hidden="false" customHeight="false" outlineLevel="0" collapsed="false">
      <c r="A142" s="59" t="s">
        <v>1194</v>
      </c>
      <c r="B142" s="60" t="s">
        <v>1173</v>
      </c>
      <c r="C142" s="61" t="n">
        <f aca="false">SUM(E142:P142)</f>
        <v>291080.615291545</v>
      </c>
      <c r="D142" s="61" t="n">
        <f aca="false">SUM(Q142:AB142)</f>
        <v>313527.710421004</v>
      </c>
      <c r="E142" s="61" t="n">
        <f aca="false">E140+E141</f>
        <v>23832.79</v>
      </c>
      <c r="F142" s="61" t="n">
        <f aca="false">F140+F141</f>
        <v>23807.23</v>
      </c>
      <c r="G142" s="61" t="n">
        <f aca="false">G140+G141</f>
        <v>23787.07</v>
      </c>
      <c r="H142" s="61" t="n">
        <f aca="false">H140+H141</f>
        <v>23759.65</v>
      </c>
      <c r="I142" s="61" t="n">
        <f aca="false">I140+I141</f>
        <v>26769.56</v>
      </c>
      <c r="J142" s="61" t="n">
        <f aca="false">J140+J141</f>
        <v>26748.39</v>
      </c>
      <c r="K142" s="61" t="n">
        <f aca="false">K140+K141</f>
        <v>26788.13</v>
      </c>
      <c r="L142" s="61" t="n">
        <f aca="false">L140+L141</f>
        <v>23827.21</v>
      </c>
      <c r="M142" s="61" t="n">
        <f aca="false">M140+M141</f>
        <v>23291.4375</v>
      </c>
      <c r="N142" s="61" t="n">
        <f aca="false">N140+N141</f>
        <v>22806.19921875</v>
      </c>
      <c r="O142" s="61" t="n">
        <f aca="false">O140+O141</f>
        <v>22826.6325683594</v>
      </c>
      <c r="P142" s="61" t="n">
        <f aca="false">P140+P141</f>
        <v>22836.3160044352</v>
      </c>
      <c r="Q142" s="61" t="n">
        <f aca="false">Q140+Q141</f>
        <v>23649.2456170193</v>
      </c>
      <c r="R142" s="61" t="n">
        <f aca="false">R140+R141</f>
        <v>23649.0502287426</v>
      </c>
      <c r="S142" s="61" t="n">
        <f aca="false">S140+S141</f>
        <v>26728.3739615466</v>
      </c>
      <c r="T142" s="61" t="n">
        <f aca="false">T140+T141</f>
        <v>26664.225454369</v>
      </c>
      <c r="U142" s="61" t="n">
        <f aca="false">U140+U141</f>
        <v>26601.4093038351</v>
      </c>
      <c r="V142" s="61" t="n">
        <f aca="false">V140+V141</f>
        <v>26604.0544008708</v>
      </c>
      <c r="W142" s="61" t="n">
        <f aca="false">W140+W141</f>
        <v>26605.3079644853</v>
      </c>
      <c r="X142" s="61" t="n">
        <f aca="false">X140+X141</f>
        <v>26605.2267423884</v>
      </c>
      <c r="Y142" s="61" t="n">
        <f aca="false">Y140+Y141</f>
        <v>26605.2023186068</v>
      </c>
      <c r="Z142" s="61" t="n">
        <f aca="false">Z140+Z141</f>
        <v>26605.2045195626</v>
      </c>
      <c r="AA142" s="61" t="n">
        <f aca="false">AA140+AA141</f>
        <v>26605.2049825381</v>
      </c>
      <c r="AB142" s="61" t="n">
        <f aca="false">AB140+AB141</f>
        <v>26605.2049270396</v>
      </c>
    </row>
    <row r="143" customFormat="false" ht="15" hidden="false" customHeight="false" outlineLevel="0" collapsed="false">
      <c r="A143" s="28" t="s">
        <v>1195</v>
      </c>
      <c r="B143" s="63"/>
      <c r="C143" s="64" t="n">
        <f aca="false">SUM(E143:P143)</f>
        <v>188843.76250465</v>
      </c>
      <c r="D143" s="64" t="n">
        <f aca="false">SUM(Q143:AB143)</f>
        <v>203235.300237252</v>
      </c>
      <c r="E143" s="65" t="n">
        <f aca="false">IF(E$5="A",Inputs_Actuals!E236,E15*Assumptions!$D$82*IF(Assumptions!E$191=2027,1+Assumptions!$F$175,1)/14)</f>
        <v>15467.03</v>
      </c>
      <c r="F143" s="65" t="n">
        <f aca="false">IF(F$5="A",Inputs_Actuals!F236,F15*Assumptions!$D$82*IF(Assumptions!F$191=2027,1+Assumptions!$F$175,1)/14)</f>
        <v>15458.18</v>
      </c>
      <c r="G143" s="65" t="n">
        <f aca="false">IF(G$5="A",Inputs_Actuals!G236,G15*Assumptions!$D$82*IF(Assumptions!G$191=2027,1+Assumptions!$F$175,1)/14)</f>
        <v>15424.03</v>
      </c>
      <c r="H143" s="65" t="n">
        <f aca="false">IF(H$5="A",Inputs_Actuals!H236,H15*Assumptions!$D$82*IF(Assumptions!H$191=2027,1+Assumptions!$F$175,1)/14)</f>
        <v>15397.62</v>
      </c>
      <c r="I143" s="65" t="n">
        <f aca="false">IF(I$5="A",Inputs_Actuals!I236,I15*Assumptions!$D$82*IF(Assumptions!I$191=2027,1+Assumptions!$F$175,1)/14)</f>
        <v>17373.83</v>
      </c>
      <c r="J143" s="65" t="n">
        <f aca="false">IF(J$5="A",Inputs_Actuals!J236,J15*Assumptions!$D$82*IF(Assumptions!J$191=2027,1+Assumptions!$F$175,1)/14)</f>
        <v>17346.89</v>
      </c>
      <c r="K143" s="65" t="n">
        <f aca="false">IF(K$5="A",Inputs_Actuals!K236,K15*Assumptions!$D$82*IF(Assumptions!K$191=2027,1+Assumptions!$F$175,1)/14)</f>
        <v>17398.16</v>
      </c>
      <c r="L143" s="65" t="n">
        <f aca="false">IF(L$5="A",Inputs_Actuals!L236,L15*Assumptions!$D$82*IF(Assumptions!L$191=2027,1+Assumptions!$F$175,1)/14)</f>
        <v>15460.86</v>
      </c>
      <c r="M143" s="65" t="n">
        <f aca="false">IF(M$5="A",Inputs_Actuals!M236,M15*Assumptions!$D$82*IF(Assumptions!M$191=2027,1+Assumptions!$F$175,1)/14)</f>
        <v>15107.1428571429</v>
      </c>
      <c r="N143" s="65" t="n">
        <f aca="false">IF(N$5="A",Inputs_Actuals!N236,N15*Assumptions!$D$82*IF(Assumptions!N$191=2027,1+Assumptions!$F$175,1)/14)</f>
        <v>14792.4107142857</v>
      </c>
      <c r="O143" s="65" t="n">
        <f aca="false">IF(O$5="A",Inputs_Actuals!O236,O15*Assumptions!$D$82*IF(Assumptions!O$191=2027,1+Assumptions!$F$175,1)/14)</f>
        <v>14805.6640625</v>
      </c>
      <c r="P143" s="65" t="n">
        <f aca="false">IF(P$5="A",Inputs_Actuals!P236,P15*Assumptions!$D$82*IF(Assumptions!P$191=2027,1+Assumptions!$F$175,1)/14)</f>
        <v>14811.9448707217</v>
      </c>
      <c r="Q143" s="65" t="n">
        <f aca="false">IF(Q$5="A",Inputs_Actuals!Q236,Q15*Assumptions!$D$82*IF(Assumptions!Q$191=2027,1+Assumptions!$F$175,1)/14)</f>
        <v>15329.9417359488</v>
      </c>
      <c r="R143" s="65" t="n">
        <f aca="false">IF(R$5="A",Inputs_Actuals!R236,R15*Assumptions!$D$82*IF(Assumptions!R$191=2027,1+Assumptions!$F$175,1)/14)</f>
        <v>15329.8150811309</v>
      </c>
      <c r="S143" s="65" t="n">
        <f aca="false">IF(S$5="A",Inputs_Actuals!S236,S15*Assumptions!$D$82*IF(Assumptions!S$191=2027,1+Assumptions!$F$175,1)/14)</f>
        <v>17325.8979234537</v>
      </c>
      <c r="T143" s="65" t="n">
        <f aca="false">IF(T$5="A",Inputs_Actuals!T236,T15*Assumptions!$D$82*IF(Assumptions!T$191=2027,1+Assumptions!$F$175,1)/14)</f>
        <v>17284.3155028807</v>
      </c>
      <c r="U143" s="65" t="n">
        <f aca="false">IF(U$5="A",Inputs_Actuals!U236,U15*Assumptions!$D$82*IF(Assumptions!U$191=2027,1+Assumptions!$F$175,1)/14)</f>
        <v>17243.5967440942</v>
      </c>
      <c r="V143" s="65" t="n">
        <f aca="false">IF(V$5="A",Inputs_Actuals!V236,V15*Assumptions!$D$82*IF(Assumptions!V$191=2027,1+Assumptions!$F$175,1)/14)</f>
        <v>17245.3113519976</v>
      </c>
      <c r="W143" s="65" t="n">
        <f aca="false">IF(W$5="A",Inputs_Actuals!W236,W15*Assumptions!$D$82*IF(Assumptions!W$191=2027,1+Assumptions!$F$175,1)/14)</f>
        <v>17246.1239384743</v>
      </c>
      <c r="X143" s="65" t="n">
        <f aca="false">IF(X$5="A",Inputs_Actuals!X236,X15*Assumptions!$D$82*IF(Assumptions!X$191=2027,1+Assumptions!$F$175,1)/14)</f>
        <v>17246.0712885914</v>
      </c>
      <c r="Y143" s="65" t="n">
        <f aca="false">IF(Y$5="A",Inputs_Actuals!Y236,Y15*Assumptions!$D$82*IF(Assumptions!Y$191=2027,1+Assumptions!$F$175,1)/14)</f>
        <v>17246.055456579</v>
      </c>
      <c r="Z143" s="65" t="n">
        <f aca="false">IF(Z$5="A",Inputs_Actuals!Z236,Z15*Assumptions!$D$82*IF(Assumptions!Z$191=2027,1+Assumptions!$F$175,1)/14)</f>
        <v>17246.0568832851</v>
      </c>
      <c r="AA143" s="65" t="n">
        <f aca="false">IF(AA$5="A",Inputs_Actuals!AA236,AA15*Assumptions!$D$82*IF(Assumptions!AA$191=2027,1+Assumptions!$F$175,1)/14)</f>
        <v>17246.0571833957</v>
      </c>
      <c r="AB143" s="65" t="n">
        <f aca="false">IF(AB$5="A",Inputs_Actuals!AB236,AB15*Assumptions!$D$82*IF(Assumptions!AB$191=2027,1+Assumptions!$F$175,1)/14)</f>
        <v>17246.0571474203</v>
      </c>
    </row>
    <row r="144" customFormat="false" ht="15" hidden="false" customHeight="false" outlineLevel="0" collapsed="false">
      <c r="A144" s="28" t="s">
        <v>1196</v>
      </c>
      <c r="B144" s="63"/>
      <c r="C144" s="64" t="n">
        <f aca="false">SUM(E144:P144)</f>
        <v>31455.2570841084</v>
      </c>
      <c r="D144" s="64" t="n">
        <f aca="false">SUM(Q144:AB144)</f>
        <v>33872.550039542</v>
      </c>
      <c r="E144" s="65" t="n">
        <f aca="false">IF(E$5="A",Inputs_Actuals!E235,E94)</f>
        <v>2571.43</v>
      </c>
      <c r="F144" s="65" t="n">
        <f aca="false">IF(F$5="A",Inputs_Actuals!F235,F94)</f>
        <v>2571.43</v>
      </c>
      <c r="G144" s="65" t="n">
        <f aca="false">IF(G$5="A",Inputs_Actuals!G235,G94)</f>
        <v>2571.43</v>
      </c>
      <c r="H144" s="65" t="n">
        <f aca="false">IF(H$5="A",Inputs_Actuals!H235,H94)</f>
        <v>2571.43</v>
      </c>
      <c r="I144" s="65" t="n">
        <f aca="false">IF(I$5="A",Inputs_Actuals!I235,I94)</f>
        <v>2892.86</v>
      </c>
      <c r="J144" s="65" t="n">
        <f aca="false">IF(J$5="A",Inputs_Actuals!J235,J94)</f>
        <v>2892.86</v>
      </c>
      <c r="K144" s="65" t="n">
        <f aca="false">IF(K$5="A",Inputs_Actuals!K235,K94)</f>
        <v>2892.86</v>
      </c>
      <c r="L144" s="65" t="n">
        <f aca="false">IF(L$5="A",Inputs_Actuals!L235,L94)</f>
        <v>2571.43</v>
      </c>
      <c r="M144" s="65" t="n">
        <f aca="false">IF(M$5="A",Inputs_Actuals!M235,M94)</f>
        <v>2517.85714285714</v>
      </c>
      <c r="N144" s="65" t="n">
        <f aca="false">IF(N$5="A",Inputs_Actuals!N235,N94)</f>
        <v>2465.40178571429</v>
      </c>
      <c r="O144" s="65" t="n">
        <f aca="false">IF(O$5="A",Inputs_Actuals!O235,O94)</f>
        <v>2467.61067708333</v>
      </c>
      <c r="P144" s="65" t="n">
        <f aca="false">IF(P$5="A",Inputs_Actuals!P235,P94)</f>
        <v>2468.65747845362</v>
      </c>
      <c r="Q144" s="65" t="n">
        <f aca="false">IF(Q$5="A",Inputs_Actuals!Q235,Q94)</f>
        <v>2554.99028932481</v>
      </c>
      <c r="R144" s="65" t="n">
        <f aca="false">IF(R$5="A",Inputs_Actuals!R235,R94)</f>
        <v>2554.96918018848</v>
      </c>
      <c r="S144" s="65" t="n">
        <f aca="false">IF(S$5="A",Inputs_Actuals!S235,S94)</f>
        <v>2887.64965390895</v>
      </c>
      <c r="T144" s="65" t="n">
        <f aca="false">IF(T$5="A",Inputs_Actuals!T235,T94)</f>
        <v>2880.71925048011</v>
      </c>
      <c r="U144" s="65" t="n">
        <f aca="false">IF(U$5="A",Inputs_Actuals!U235,U94)</f>
        <v>2873.93279068237</v>
      </c>
      <c r="V144" s="65" t="n">
        <f aca="false">IF(V$5="A",Inputs_Actuals!V235,V94)</f>
        <v>2874.21855866626</v>
      </c>
      <c r="W144" s="65" t="n">
        <f aca="false">IF(W$5="A",Inputs_Actuals!W235,W94)</f>
        <v>2874.35398974571</v>
      </c>
      <c r="X144" s="65" t="n">
        <f aca="false">IF(X$5="A",Inputs_Actuals!X235,X94)</f>
        <v>2874.34521476523</v>
      </c>
      <c r="Y144" s="65" t="n">
        <f aca="false">IF(Y$5="A",Inputs_Actuals!Y235,Y94)</f>
        <v>2874.3425760965</v>
      </c>
      <c r="Z144" s="65" t="n">
        <f aca="false">IF(Z$5="A",Inputs_Actuals!Z235,Z94)</f>
        <v>2874.34281388086</v>
      </c>
      <c r="AA144" s="65" t="n">
        <f aca="false">IF(AA$5="A",Inputs_Actuals!AA235,AA94)</f>
        <v>2874.34286389928</v>
      </c>
      <c r="AB144" s="65" t="n">
        <f aca="false">IF(AB$5="A",Inputs_Actuals!AB235,AB94)</f>
        <v>2874.34285790339</v>
      </c>
    </row>
    <row r="145" customFormat="false" ht="15" hidden="false" customHeight="false" outlineLevel="0" collapsed="false">
      <c r="A145" s="28" t="s">
        <v>1197</v>
      </c>
      <c r="B145" s="63" t="s">
        <v>1177</v>
      </c>
      <c r="C145" s="64" t="n">
        <f aca="false">SUM(E145:P145)</f>
        <v>31455.2570841084</v>
      </c>
      <c r="D145" s="64" t="n">
        <f aca="false">SUM(Q145:AB145)</f>
        <v>33872.5500395419</v>
      </c>
      <c r="E145" s="65" t="n">
        <f aca="false">IF(E$5="A",Inputs_Actuals!E237,IF(Assumptions!E$211=1,SUM(E144:E144),0))</f>
        <v>0</v>
      </c>
      <c r="F145" s="65" t="n">
        <f aca="false">IF(F$5="A",Inputs_Actuals!F237,IF(Assumptions!F$211=1,SUM(E144:F144),0))</f>
        <v>0</v>
      </c>
      <c r="G145" s="65" t="n">
        <f aca="false">IF(G$5="A",Inputs_Actuals!G237,IF(Assumptions!G$211=1,SUM(E144:G144),0))</f>
        <v>0</v>
      </c>
      <c r="H145" s="65" t="n">
        <f aca="false">IF(H$5="A",Inputs_Actuals!H237,IF(Assumptions!H$211=1,SUM(E144:H144),0))</f>
        <v>0</v>
      </c>
      <c r="I145" s="65" t="n">
        <f aca="false">IF(I$5="A",Inputs_Actuals!I237,IF(Assumptions!I$211=1,SUM(E144:I144),0))</f>
        <v>0</v>
      </c>
      <c r="J145" s="65" t="n">
        <f aca="false">IF(J$5="A",Inputs_Actuals!J237,IF(Assumptions!J$211=1,SUM(E144:J144),0))</f>
        <v>16071.44</v>
      </c>
      <c r="K145" s="65" t="n">
        <f aca="false">IF(K$5="A",Inputs_Actuals!K237,IF(Assumptions!K$211=1,SUM(F144:K144),0))</f>
        <v>0</v>
      </c>
      <c r="L145" s="65" t="n">
        <f aca="false">IF(L$5="A",Inputs_Actuals!L237,IF(Assumptions!L$211=1,SUM(G144:L144),0))</f>
        <v>0</v>
      </c>
      <c r="M145" s="65" t="n">
        <f aca="false">IF(M$5="A",Inputs_Actuals!M237,IF(Assumptions!M$211=1,SUM(H144:M144),0))</f>
        <v>0</v>
      </c>
      <c r="N145" s="65" t="n">
        <f aca="false">IF(N$5="A",Inputs_Actuals!N237,IF(Assumptions!N$211=1,SUM(I144:N144),0))</f>
        <v>0</v>
      </c>
      <c r="O145" s="65" t="n">
        <f aca="false">IF(O$5="A",Inputs_Actuals!O237,IF(Assumptions!O$211=1,SUM(J144:O144),0))</f>
        <v>0</v>
      </c>
      <c r="P145" s="65" t="n">
        <f aca="false">IF(P$5="A",Inputs_Actuals!P237,IF(Assumptions!P$211=1,SUM(K144:P144),0))</f>
        <v>15383.8170841084</v>
      </c>
      <c r="Q145" s="65" t="n">
        <f aca="false">IF(Q$5="A",Inputs_Actuals!Q237,IF(Assumptions!Q$211=1,SUM(L144:Q144),0))</f>
        <v>0</v>
      </c>
      <c r="R145" s="65" t="n">
        <f aca="false">IF(R$5="A",Inputs_Actuals!R237,IF(Assumptions!R$211=1,SUM(M144:R144),0))</f>
        <v>0</v>
      </c>
      <c r="S145" s="65" t="n">
        <f aca="false">IF(S$5="A",Inputs_Actuals!S237,IF(Assumptions!S$211=1,SUM(N144:S144),0))</f>
        <v>0</v>
      </c>
      <c r="T145" s="65" t="n">
        <f aca="false">IF(T$5="A",Inputs_Actuals!T237,IF(Assumptions!T$211=1,SUM(O144:T144),0))</f>
        <v>0</v>
      </c>
      <c r="U145" s="65" t="n">
        <f aca="false">IF(U$5="A",Inputs_Actuals!U237,IF(Assumptions!U$211=1,SUM(P144:U144),0))</f>
        <v>0</v>
      </c>
      <c r="V145" s="65" t="n">
        <f aca="false">IF(V$5="A",Inputs_Actuals!V237,IF(Assumptions!V$211=1,SUM(Q144:V144),0))</f>
        <v>16626.479723251</v>
      </c>
      <c r="W145" s="65" t="n">
        <f aca="false">IF(W$5="A",Inputs_Actuals!W237,IF(Assumptions!W$211=1,SUM(R144:W144),0))</f>
        <v>0</v>
      </c>
      <c r="X145" s="65" t="n">
        <f aca="false">IF(X$5="A",Inputs_Actuals!X237,IF(Assumptions!X$211=1,SUM(S144:X144),0))</f>
        <v>0</v>
      </c>
      <c r="Y145" s="65" t="n">
        <f aca="false">IF(Y$5="A",Inputs_Actuals!Y237,IF(Assumptions!Y$211=1,SUM(T144:Y144),0))</f>
        <v>0</v>
      </c>
      <c r="Z145" s="65" t="n">
        <f aca="false">IF(Z$5="A",Inputs_Actuals!Z237,IF(Assumptions!Z$211=1,SUM(U144:Z144),0))</f>
        <v>0</v>
      </c>
      <c r="AA145" s="65" t="n">
        <f aca="false">IF(AA$5="A",Inputs_Actuals!AA237,IF(Assumptions!AA$211=1,SUM(V144:AA144),0))</f>
        <v>0</v>
      </c>
      <c r="AB145" s="65" t="n">
        <f aca="false">IF(AB$5="A",Inputs_Actuals!AB237,IF(Assumptions!AB$211=1,SUM(W144:AB144),0))</f>
        <v>17246.070316291</v>
      </c>
    </row>
    <row r="146" customFormat="false" ht="15" hidden="false" customHeight="false" outlineLevel="0" collapsed="false">
      <c r="A146" s="28" t="s">
        <v>1198</v>
      </c>
      <c r="B146" s="63"/>
      <c r="C146" s="64" t="n">
        <f aca="false">SUM(E146:P146)</f>
        <v>14309.5048232693</v>
      </c>
      <c r="D146" s="64" t="n">
        <f aca="false">SUM(Q146:AB146)</f>
        <v>15459.4318380469</v>
      </c>
      <c r="E146" s="65" t="n">
        <f aca="false">IF(E$5="A",Inputs_Actuals!E239,E79)</f>
        <v>1168.2</v>
      </c>
      <c r="F146" s="65" t="n">
        <f aca="false">IF(F$5="A",Inputs_Actuals!F239,F79)</f>
        <v>1170.53</v>
      </c>
      <c r="G146" s="65" t="n">
        <f aca="false">IF(G$5="A",Inputs_Actuals!G239,G79)</f>
        <v>1172.05</v>
      </c>
      <c r="H146" s="65" t="n">
        <f aca="false">IF(H$5="A",Inputs_Actuals!H239,H79)</f>
        <v>1169.77</v>
      </c>
      <c r="I146" s="65" t="n">
        <f aca="false">IF(I$5="A",Inputs_Actuals!I239,I79)</f>
        <v>1317.99</v>
      </c>
      <c r="J146" s="65" t="n">
        <f aca="false">IF(J$5="A",Inputs_Actuals!J239,J79)</f>
        <v>1318.21</v>
      </c>
      <c r="K146" s="65" t="n">
        <f aca="false">IF(K$5="A",Inputs_Actuals!K239,K79)</f>
        <v>1317.76</v>
      </c>
      <c r="L146" s="65" t="n">
        <f aca="false">IF(L$5="A",Inputs_Actuals!L239,L79)</f>
        <v>1161.61</v>
      </c>
      <c r="M146" s="65" t="n">
        <f aca="false">IF(M$5="A",Inputs_Actuals!M239,M79)</f>
        <v>1145.625</v>
      </c>
      <c r="N146" s="65" t="n">
        <f aca="false">IF(N$5="A",Inputs_Actuals!N239,N79)</f>
        <v>1121.7578125</v>
      </c>
      <c r="O146" s="65" t="n">
        <f aca="false">IF(O$5="A",Inputs_Actuals!O239,O79)</f>
        <v>1122.76285807292</v>
      </c>
      <c r="P146" s="65" t="n">
        <f aca="false">IF(P$5="A",Inputs_Actuals!P239,P79)</f>
        <v>1123.2391526964</v>
      </c>
      <c r="Q146" s="65" t="n">
        <f aca="false">IF(Q$5="A",Inputs_Actuals!Q239,Q79)</f>
        <v>1166.09756804784</v>
      </c>
      <c r="R146" s="65" t="n">
        <f aca="false">IF(R$5="A",Inputs_Actuals!R239,R79)</f>
        <v>1166.08793383802</v>
      </c>
      <c r="S146" s="65" t="n">
        <f aca="false">IF(S$5="A",Inputs_Actuals!S239,S79)</f>
        <v>1317.92330204404</v>
      </c>
      <c r="T146" s="65" t="n">
        <f aca="false">IF(T$5="A",Inputs_Actuals!T239,T79)</f>
        <v>1314.76026591912</v>
      </c>
      <c r="U146" s="65" t="n">
        <f aca="false">IF(U$5="A",Inputs_Actuals!U239,U79)</f>
        <v>1311.66292566743</v>
      </c>
      <c r="V146" s="65" t="n">
        <f aca="false">IF(V$5="A",Inputs_Actuals!V239,V79)</f>
        <v>1311.79335017528</v>
      </c>
      <c r="W146" s="65" t="n">
        <f aca="false">IF(W$5="A",Inputs_Actuals!W239,W79)</f>
        <v>1311.85516091994</v>
      </c>
      <c r="X146" s="65" t="n">
        <f aca="false">IF(X$5="A",Inputs_Actuals!X239,X79)</f>
        <v>1311.85115601885</v>
      </c>
      <c r="Y146" s="65" t="n">
        <f aca="false">IF(Y$5="A",Inputs_Actuals!Y239,Y79)</f>
        <v>1311.84995173044</v>
      </c>
      <c r="Z146" s="65" t="n">
        <f aca="false">IF(Z$5="A",Inputs_Actuals!Z239,Z79)</f>
        <v>1311.85006025522</v>
      </c>
      <c r="AA146" s="65" t="n">
        <f aca="false">IF(AA$5="A",Inputs_Actuals!AA239,AA79)</f>
        <v>1311.85008308363</v>
      </c>
      <c r="AB146" s="65" t="n">
        <f aca="false">IF(AB$5="A",Inputs_Actuals!AB239,AB79)</f>
        <v>1311.85008034711</v>
      </c>
    </row>
    <row r="147" customFormat="false" ht="15" hidden="false" customHeight="false" outlineLevel="0" collapsed="false">
      <c r="A147" s="28" t="s">
        <v>1199</v>
      </c>
      <c r="B147" s="63"/>
      <c r="C147" s="64" t="n">
        <f aca="false">SUM(E147:P147)</f>
        <v>24220.5272833349</v>
      </c>
      <c r="D147" s="64" t="n">
        <f aca="false">SUM(Q147:AB147)</f>
        <v>26081.8635304473</v>
      </c>
      <c r="E147" s="65" t="n">
        <f aca="false">IF(E$5="A",Inputs_Actuals!E240,E109)</f>
        <v>1697.14</v>
      </c>
      <c r="F147" s="65" t="n">
        <f aca="false">IF(F$5="A",Inputs_Actuals!F240,F109)</f>
        <v>1697.14</v>
      </c>
      <c r="G147" s="65" t="n">
        <f aca="false">IF(G$5="A",Inputs_Actuals!G240,G109)</f>
        <v>1697.14</v>
      </c>
      <c r="H147" s="65" t="n">
        <f aca="false">IF(H$5="A",Inputs_Actuals!H240,H109)</f>
        <v>1697.14</v>
      </c>
      <c r="I147" s="65" t="n">
        <f aca="false">IF(I$5="A",Inputs_Actuals!I240,I109)</f>
        <v>1909.29</v>
      </c>
      <c r="J147" s="65" t="n">
        <f aca="false">IF(J$5="A",Inputs_Actuals!J240,J109)</f>
        <v>3677.14</v>
      </c>
      <c r="K147" s="65" t="n">
        <f aca="false">IF(K$5="A",Inputs_Actuals!K240,K109)</f>
        <v>1909.29</v>
      </c>
      <c r="L147" s="65" t="n">
        <f aca="false">IF(L$5="A",Inputs_Actuals!L240,L109)</f>
        <v>1697.14</v>
      </c>
      <c r="M147" s="65" t="n">
        <f aca="false">IF(M$5="A",Inputs_Actuals!M240,M109)</f>
        <v>1661.78571428571</v>
      </c>
      <c r="N147" s="65" t="n">
        <f aca="false">IF(N$5="A",Inputs_Actuals!N240,N109)</f>
        <v>1627.16517857143</v>
      </c>
      <c r="O147" s="65" t="n">
        <f aca="false">IF(O$5="A",Inputs_Actuals!O240,O109)</f>
        <v>1628.623046875</v>
      </c>
      <c r="P147" s="65" t="n">
        <f aca="false">IF(P$5="A",Inputs_Actuals!P240,P109)</f>
        <v>3321.53334360274</v>
      </c>
      <c r="Q147" s="65" t="n">
        <f aca="false">IF(Q$5="A",Inputs_Actuals!Q240,Q109)</f>
        <v>1686.29359095437</v>
      </c>
      <c r="R147" s="65" t="n">
        <f aca="false">IF(R$5="A",Inputs_Actuals!R240,R109)</f>
        <v>1686.2796589244</v>
      </c>
      <c r="S147" s="65" t="n">
        <f aca="false">IF(S$5="A",Inputs_Actuals!S240,S109)</f>
        <v>1905.84877157991</v>
      </c>
      <c r="T147" s="65" t="n">
        <f aca="false">IF(T$5="A",Inputs_Actuals!T240,T109)</f>
        <v>1901.27470531688</v>
      </c>
      <c r="U147" s="65" t="n">
        <f aca="false">IF(U$5="A",Inputs_Actuals!U240,U109)</f>
        <v>1896.79564185036</v>
      </c>
      <c r="V147" s="65" t="n">
        <f aca="false">IF(V$5="A",Inputs_Actuals!V240,V109)</f>
        <v>3725.89701827734</v>
      </c>
      <c r="W147" s="65" t="n">
        <f aca="false">IF(W$5="A",Inputs_Actuals!W240,W109)</f>
        <v>1897.07363323217</v>
      </c>
      <c r="X147" s="65" t="n">
        <f aca="false">IF(X$5="A",Inputs_Actuals!X240,X109)</f>
        <v>1897.06784174505</v>
      </c>
      <c r="Y147" s="65" t="n">
        <f aca="false">IF(Y$5="A",Inputs_Actuals!Y240,Y109)</f>
        <v>1897.06610022369</v>
      </c>
      <c r="Z147" s="65" t="n">
        <f aca="false">IF(Z$5="A",Inputs_Actuals!Z240,Z109)</f>
        <v>1897.06625716137</v>
      </c>
      <c r="AA147" s="65" t="n">
        <f aca="false">IF(AA$5="A",Inputs_Actuals!AA240,AA109)</f>
        <v>1897.06629017353</v>
      </c>
      <c r="AB147" s="65" t="n">
        <f aca="false">IF(AB$5="A",Inputs_Actuals!AB240,AB109)</f>
        <v>3794.13402100824</v>
      </c>
    </row>
    <row r="148" customFormat="false" ht="15" hidden="false" customHeight="false" outlineLevel="0" collapsed="false">
      <c r="A148" s="28" t="s">
        <v>1200</v>
      </c>
      <c r="B148" s="63"/>
      <c r="C148" s="64" t="n">
        <f aca="false">SUM(E148:P148)</f>
        <v>181768.987482154</v>
      </c>
      <c r="D148" s="64" t="n">
        <f aca="false">SUM(Q148:AB148)</f>
        <v>195566.554908299</v>
      </c>
      <c r="E148" s="74" t="n">
        <f aca="false">E143+E145-E147-E146</f>
        <v>12601.69</v>
      </c>
      <c r="F148" s="74" t="n">
        <f aca="false">F143+F145-F147-F146</f>
        <v>12590.51</v>
      </c>
      <c r="G148" s="74" t="n">
        <f aca="false">G143+G145-G147-G146</f>
        <v>12554.84</v>
      </c>
      <c r="H148" s="74" t="n">
        <f aca="false">H143+H145-H147-H146</f>
        <v>12530.71</v>
      </c>
      <c r="I148" s="74" t="n">
        <f aca="false">I143+I145-I147-I146</f>
        <v>14146.55</v>
      </c>
      <c r="J148" s="74" t="n">
        <f aca="false">J143+J145-J147-J146</f>
        <v>28422.98</v>
      </c>
      <c r="K148" s="74" t="n">
        <f aca="false">K143+K145-K147-K146</f>
        <v>14171.11</v>
      </c>
      <c r="L148" s="74" t="n">
        <f aca="false">L143+L145-L147-L146</f>
        <v>12602.11</v>
      </c>
      <c r="M148" s="74" t="n">
        <f aca="false">M143+M145-M147-M146</f>
        <v>12299.7321428571</v>
      </c>
      <c r="N148" s="74" t="n">
        <f aca="false">N143+N145-N147-N146</f>
        <v>12043.4877232143</v>
      </c>
      <c r="O148" s="74" t="n">
        <f aca="false">O143+O145-O147-O146</f>
        <v>12054.2781575521</v>
      </c>
      <c r="P148" s="74" t="n">
        <f aca="false">P143+P145-P147-P146</f>
        <v>25750.989458531</v>
      </c>
      <c r="Q148" s="74" t="n">
        <f aca="false">Q143+Q145-Q147-Q146</f>
        <v>12477.5505769466</v>
      </c>
      <c r="R148" s="74" t="n">
        <f aca="false">R143+R145-R147-R146</f>
        <v>12477.4474883685</v>
      </c>
      <c r="S148" s="74" t="n">
        <f aca="false">S143+S145-S147-S146</f>
        <v>14102.1258498297</v>
      </c>
      <c r="T148" s="74" t="n">
        <f aca="false">T143+T145-T147-T146</f>
        <v>14068.2805316447</v>
      </c>
      <c r="U148" s="74" t="n">
        <f aca="false">U143+U145-U147-U146</f>
        <v>14035.1381765764</v>
      </c>
      <c r="V148" s="74" t="n">
        <f aca="false">V143+V145-V147-V146</f>
        <v>28834.1007067959</v>
      </c>
      <c r="W148" s="74" t="n">
        <f aca="false">W143+W145-W147-W146</f>
        <v>14037.1951443222</v>
      </c>
      <c r="X148" s="74" t="n">
        <f aca="false">X143+X145-X147-X146</f>
        <v>14037.1522908275</v>
      </c>
      <c r="Y148" s="74" t="n">
        <f aca="false">Y143+Y145-Y147-Y146</f>
        <v>14037.1394046249</v>
      </c>
      <c r="Z148" s="74" t="n">
        <f aca="false">Z143+Z145-Z147-Z146</f>
        <v>14037.1405658686</v>
      </c>
      <c r="AA148" s="74" t="n">
        <f aca="false">AA143+AA145-AA147-AA146</f>
        <v>14037.1408101385</v>
      </c>
      <c r="AB148" s="74" t="n">
        <f aca="false">AB143+AB145-AB147-AB146</f>
        <v>29386.143362356</v>
      </c>
    </row>
    <row r="149" customFormat="false" ht="15" hidden="false" customHeight="false" outlineLevel="0" collapsed="false">
      <c r="A149" s="28" t="s">
        <v>1201</v>
      </c>
      <c r="B149" s="63"/>
      <c r="C149" s="68" t="n">
        <f aca="false">P149</f>
        <v>5.85370327148438</v>
      </c>
      <c r="D149" s="68" t="n">
        <f aca="false">AB149</f>
        <v>6.82926829290876</v>
      </c>
      <c r="E149" s="80" t="n">
        <f aca="false">E16</f>
        <v>5</v>
      </c>
      <c r="F149" s="80" t="n">
        <f aca="false">F16</f>
        <v>5</v>
      </c>
      <c r="G149" s="80" t="n">
        <f aca="false">G16</f>
        <v>5</v>
      </c>
      <c r="H149" s="80" t="n">
        <f aca="false">H16</f>
        <v>6</v>
      </c>
      <c r="I149" s="80" t="n">
        <f aca="false">I16</f>
        <v>6</v>
      </c>
      <c r="J149" s="80" t="n">
        <f aca="false">J16</f>
        <v>6</v>
      </c>
      <c r="K149" s="80" t="n">
        <f aca="false">K16</f>
        <v>6</v>
      </c>
      <c r="L149" s="80" t="n">
        <f aca="false">L16</f>
        <v>6</v>
      </c>
      <c r="M149" s="80" t="n">
        <f aca="false">M16</f>
        <v>5.925</v>
      </c>
      <c r="N149" s="80" t="n">
        <f aca="false">N16</f>
        <v>5.8509375</v>
      </c>
      <c r="O149" s="80" t="n">
        <f aca="false">O16</f>
        <v>5.85280078125</v>
      </c>
      <c r="P149" s="80" t="n">
        <f aca="false">P16</f>
        <v>5.85370327148438</v>
      </c>
      <c r="Q149" s="80" t="n">
        <f aca="false">Q16</f>
        <v>5.85366869934082</v>
      </c>
      <c r="R149" s="80" t="n">
        <f aca="false">R16</f>
        <v>5.85365785036469</v>
      </c>
      <c r="S149" s="80" t="n">
        <f aca="false">S16</f>
        <v>6.85365841812868</v>
      </c>
      <c r="T149" s="80" t="n">
        <f aca="false">T16</f>
        <v>6.84115854664383</v>
      </c>
      <c r="U149" s="80" t="n">
        <f aca="false">U16</f>
        <v>6.82881478794034</v>
      </c>
      <c r="V149" s="80" t="n">
        <f aca="false">V16</f>
        <v>6.8291253333177</v>
      </c>
      <c r="W149" s="80" t="n">
        <f aca="false">W16</f>
        <v>6.82927574848427</v>
      </c>
      <c r="X149" s="80" t="n">
        <f aca="false">X16</f>
        <v>6.82926998647748</v>
      </c>
      <c r="Y149" s="80" t="n">
        <f aca="false">Y16</f>
        <v>6.82926817831298</v>
      </c>
      <c r="Z149" s="80" t="n">
        <f aca="false">Z16</f>
        <v>6.82926827294012</v>
      </c>
      <c r="AA149" s="80" t="n">
        <f aca="false">AA16</f>
        <v>6.82926829435934</v>
      </c>
      <c r="AB149" s="80" t="n">
        <f aca="false">AB16</f>
        <v>6.82926829290876</v>
      </c>
    </row>
    <row r="150" customFormat="false" ht="15" hidden="false" customHeight="false" outlineLevel="0" collapsed="false">
      <c r="A150" s="28" t="s">
        <v>1202</v>
      </c>
      <c r="B150" s="63"/>
      <c r="C150" s="64" t="n">
        <f aca="false">SUM(E150:P150)</f>
        <v>211173.284787598</v>
      </c>
      <c r="D150" s="64" t="n">
        <f aca="false">SUM(Q150:AB150)</f>
        <v>255413.93531342</v>
      </c>
      <c r="E150" s="65" t="n">
        <f aca="false">IF(E$5="A",Inputs_Actuals!E241,E50)</f>
        <v>15423.78</v>
      </c>
      <c r="F150" s="65" t="n">
        <f aca="false">IF(F$5="A",Inputs_Actuals!F241,F50)</f>
        <v>15432.3</v>
      </c>
      <c r="G150" s="65" t="n">
        <f aca="false">IF(G$5="A",Inputs_Actuals!G241,G50)</f>
        <v>15461.49</v>
      </c>
      <c r="H150" s="65" t="n">
        <f aca="false">IF(H$5="A",Inputs_Actuals!H241,H50)</f>
        <v>18533.64</v>
      </c>
      <c r="I150" s="65" t="n">
        <f aca="false">IF(I$5="A",Inputs_Actuals!I241,I50)</f>
        <v>18545.17</v>
      </c>
      <c r="J150" s="65" t="n">
        <f aca="false">IF(J$5="A",Inputs_Actuals!J241,J50)</f>
        <v>18476</v>
      </c>
      <c r="K150" s="65" t="n">
        <f aca="false">IF(K$5="A",Inputs_Actuals!K241,K50)</f>
        <v>18431.15</v>
      </c>
      <c r="L150" s="65" t="n">
        <f aca="false">IF(L$5="A",Inputs_Actuals!L241,L50)</f>
        <v>18465.56</v>
      </c>
      <c r="M150" s="65" t="n">
        <f aca="false">IF(M$5="A",Inputs_Actuals!M241,M50)</f>
        <v>18268.75</v>
      </c>
      <c r="N150" s="65" t="n">
        <f aca="false">IF(N$5="A",Inputs_Actuals!N241,N50)</f>
        <v>18040.390625</v>
      </c>
      <c r="O150" s="65" t="n">
        <f aca="false">IF(O$5="A",Inputs_Actuals!O241,O50)</f>
        <v>18046.1357421875</v>
      </c>
      <c r="P150" s="65" t="n">
        <f aca="false">IF(P$5="A",Inputs_Actuals!P241,P50)</f>
        <v>18048.9184204102</v>
      </c>
      <c r="Q150" s="65" t="n">
        <f aca="false">IF(Q$5="A",Inputs_Actuals!Q241,Q50)</f>
        <v>18680.5202367714</v>
      </c>
      <c r="R150" s="65" t="n">
        <f aca="false">IF(R$5="A",Inputs_Actuals!R241,R50)</f>
        <v>18680.4856149763</v>
      </c>
      <c r="S150" s="65" t="n">
        <f aca="false">IF(S$5="A",Inputs_Actuals!S241,S50)</f>
        <v>21871.7374268532</v>
      </c>
      <c r="T150" s="65" t="n">
        <f aca="false">IF(T$5="A",Inputs_Actuals!T241,T50)</f>
        <v>21831.8472119771</v>
      </c>
      <c r="U150" s="65" t="n">
        <f aca="false">IF(U$5="A",Inputs_Actuals!U241,U50)</f>
        <v>21792.4551920146</v>
      </c>
      <c r="V150" s="65" t="n">
        <f aca="false">IF(V$5="A",Inputs_Actuals!V241,V50)</f>
        <v>21793.4462199501</v>
      </c>
      <c r="W150" s="65" t="n">
        <f aca="false">IF(W$5="A",Inputs_Actuals!W241,W50)</f>
        <v>21793.9262323504</v>
      </c>
      <c r="X150" s="65" t="n">
        <f aca="false">IF(X$5="A",Inputs_Actuals!X241,X50)</f>
        <v>21793.9078443462</v>
      </c>
      <c r="Y150" s="65" t="n">
        <f aca="false">IF(Y$5="A",Inputs_Actuals!Y241,Y50)</f>
        <v>21793.9020740413</v>
      </c>
      <c r="Z150" s="65" t="n">
        <f aca="false">IF(Z$5="A",Inputs_Actuals!Z241,Z50)</f>
        <v>21793.9023760202</v>
      </c>
      <c r="AA150" s="65" t="n">
        <f aca="false">IF(AA$5="A",Inputs_Actuals!AA241,AA50)</f>
        <v>21793.9024443742</v>
      </c>
      <c r="AB150" s="65" t="n">
        <f aca="false">IF(AB$5="A",Inputs_Actuals!AB241,AB50)</f>
        <v>21793.9024397451</v>
      </c>
    </row>
    <row r="151" customFormat="false" ht="15" hidden="false" customHeight="false" outlineLevel="0" collapsed="false">
      <c r="A151" s="28" t="s">
        <v>1203</v>
      </c>
      <c r="B151" s="63"/>
      <c r="C151" s="64" t="n">
        <f aca="false">SUM(E151:P151)</f>
        <v>67869.2886242127</v>
      </c>
      <c r="D151" s="64" t="n">
        <f aca="false">SUM(Q151:AB151)</f>
        <v>82319.9113515153</v>
      </c>
      <c r="E151" s="65" t="n">
        <f aca="false">IF(E$5="A",Inputs_Actuals!E245,E65)</f>
        <v>4967.31</v>
      </c>
      <c r="F151" s="65" t="n">
        <f aca="false">IF(F$5="A",Inputs_Actuals!F245,F65)</f>
        <v>4951.73</v>
      </c>
      <c r="G151" s="65" t="n">
        <f aca="false">IF(G$5="A",Inputs_Actuals!G245,G65)</f>
        <v>4950.21</v>
      </c>
      <c r="H151" s="65" t="n">
        <f aca="false">IF(H$5="A",Inputs_Actuals!H245,H65)</f>
        <v>5951.1</v>
      </c>
      <c r="I151" s="65" t="n">
        <f aca="false">IF(I$5="A",Inputs_Actuals!I245,I65)</f>
        <v>5962.31</v>
      </c>
      <c r="J151" s="65" t="n">
        <f aca="false">IF(J$5="A",Inputs_Actuals!J245,J65)</f>
        <v>5943.02</v>
      </c>
      <c r="K151" s="65" t="n">
        <f aca="false">IF(K$5="A",Inputs_Actuals!K245,K65)</f>
        <v>5922.83</v>
      </c>
      <c r="L151" s="65" t="n">
        <f aca="false">IF(L$5="A",Inputs_Actuals!L245,L65)</f>
        <v>5942.83</v>
      </c>
      <c r="M151" s="65" t="n">
        <f aca="false">IF(M$5="A",Inputs_Actuals!M245,M65)</f>
        <v>5873.403125</v>
      </c>
      <c r="N151" s="65" t="n">
        <f aca="false">IF(N$5="A",Inputs_Actuals!N245,N65)</f>
        <v>5799.9855859375</v>
      </c>
      <c r="O151" s="65" t="n">
        <f aca="false">IF(O$5="A",Inputs_Actuals!O245,O65)</f>
        <v>5801.83264111328</v>
      </c>
      <c r="P151" s="65" t="n">
        <f aca="false">IF(P$5="A",Inputs_Actuals!P245,P65)</f>
        <v>5802.72727216187</v>
      </c>
      <c r="Q151" s="65" t="n">
        <f aca="false">IF(Q$5="A",Inputs_Actuals!Q245,Q65)</f>
        <v>6020.73167231142</v>
      </c>
      <c r="R151" s="65" t="n">
        <f aca="false">IF(R$5="A",Inputs_Actuals!R245,R65)</f>
        <v>6020.72051370686</v>
      </c>
      <c r="S151" s="65" t="n">
        <f aca="false">IF(S$5="A",Inputs_Actuals!S245,S65)</f>
        <v>7049.26097267477</v>
      </c>
      <c r="T151" s="65" t="n">
        <f aca="false">IF(T$5="A",Inputs_Actuals!T245,T65)</f>
        <v>7036.40435642023</v>
      </c>
      <c r="U151" s="65" t="n">
        <f aca="false">IF(U$5="A",Inputs_Actuals!U245,U65)</f>
        <v>7023.70830838631</v>
      </c>
      <c r="V151" s="65" t="n">
        <f aca="false">IF(V$5="A",Inputs_Actuals!V245,V65)</f>
        <v>7024.02771668992</v>
      </c>
      <c r="W151" s="65" t="n">
        <f aca="false">IF(W$5="A",Inputs_Actuals!W245,W65)</f>
        <v>7024.18242468655</v>
      </c>
      <c r="X151" s="65" t="n">
        <f aca="false">IF(X$5="A",Inputs_Actuals!X245,X65)</f>
        <v>7024.1764982328</v>
      </c>
      <c r="Y151" s="65" t="n">
        <f aca="false">IF(Y$5="A",Inputs_Actuals!Y245,Y65)</f>
        <v>7024.17463846351</v>
      </c>
      <c r="Z151" s="65" t="n">
        <f aca="false">IF(Z$5="A",Inputs_Actuals!Z245,Z65)</f>
        <v>7024.1747357913</v>
      </c>
      <c r="AA151" s="65" t="n">
        <f aca="false">IF(AA$5="A",Inputs_Actuals!AA245,AA65)</f>
        <v>7024.17475782182</v>
      </c>
      <c r="AB151" s="65" t="n">
        <f aca="false">IF(AB$5="A",Inputs_Actuals!AB245,AB65)</f>
        <v>7024.17475632984</v>
      </c>
    </row>
    <row r="152" customFormat="false" ht="15" hidden="false" customHeight="false" outlineLevel="0" collapsed="false">
      <c r="A152" s="59" t="s">
        <v>1204</v>
      </c>
      <c r="B152" s="60" t="s">
        <v>1173</v>
      </c>
      <c r="C152" s="61" t="n">
        <f aca="false">SUM(E152:P152)</f>
        <v>279042.57341181</v>
      </c>
      <c r="D152" s="61" t="n">
        <f aca="false">SUM(Q152:AB152)</f>
        <v>337733.846664935</v>
      </c>
      <c r="E152" s="61" t="n">
        <f aca="false">E150+E151</f>
        <v>20391.09</v>
      </c>
      <c r="F152" s="61" t="n">
        <f aca="false">F150+F151</f>
        <v>20384.03</v>
      </c>
      <c r="G152" s="61" t="n">
        <f aca="false">G150+G151</f>
        <v>20411.7</v>
      </c>
      <c r="H152" s="61" t="n">
        <f aca="false">H150+H151</f>
        <v>24484.74</v>
      </c>
      <c r="I152" s="61" t="n">
        <f aca="false">I150+I151</f>
        <v>24507.48</v>
      </c>
      <c r="J152" s="61" t="n">
        <f aca="false">J150+J151</f>
        <v>24419.02</v>
      </c>
      <c r="K152" s="61" t="n">
        <f aca="false">K150+K151</f>
        <v>24353.98</v>
      </c>
      <c r="L152" s="61" t="n">
        <f aca="false">L150+L151</f>
        <v>24408.39</v>
      </c>
      <c r="M152" s="61" t="n">
        <f aca="false">M150+M151</f>
        <v>24142.153125</v>
      </c>
      <c r="N152" s="61" t="n">
        <f aca="false">N150+N151</f>
        <v>23840.3762109375</v>
      </c>
      <c r="O152" s="61" t="n">
        <f aca="false">O150+O151</f>
        <v>23847.9683833008</v>
      </c>
      <c r="P152" s="61" t="n">
        <f aca="false">P150+P151</f>
        <v>23851.645692572</v>
      </c>
      <c r="Q152" s="61" t="n">
        <f aca="false">Q150+Q151</f>
        <v>24701.2519090828</v>
      </c>
      <c r="R152" s="61" t="n">
        <f aca="false">R150+R151</f>
        <v>24701.2061286832</v>
      </c>
      <c r="S152" s="61" t="n">
        <f aca="false">S150+S151</f>
        <v>28920.9983995279</v>
      </c>
      <c r="T152" s="61" t="n">
        <f aca="false">T150+T151</f>
        <v>28868.2515683974</v>
      </c>
      <c r="U152" s="61" t="n">
        <f aca="false">U150+U151</f>
        <v>28816.1635004009</v>
      </c>
      <c r="V152" s="61" t="n">
        <f aca="false">V150+V151</f>
        <v>28817.47393664</v>
      </c>
      <c r="W152" s="61" t="n">
        <f aca="false">W150+W151</f>
        <v>28818.108657037</v>
      </c>
      <c r="X152" s="61" t="n">
        <f aca="false">X150+X151</f>
        <v>28818.084342579</v>
      </c>
      <c r="Y152" s="61" t="n">
        <f aca="false">Y150+Y151</f>
        <v>28818.0767125048</v>
      </c>
      <c r="Z152" s="61" t="n">
        <f aca="false">Z150+Z151</f>
        <v>28818.0771118115</v>
      </c>
      <c r="AA152" s="61" t="n">
        <f aca="false">AA150+AA151</f>
        <v>28818.0772021961</v>
      </c>
      <c r="AB152" s="61" t="n">
        <f aca="false">AB150+AB151</f>
        <v>28818.0771960749</v>
      </c>
    </row>
    <row r="153" customFormat="false" ht="15" hidden="false" customHeight="false" outlineLevel="0" collapsed="false">
      <c r="A153" s="28" t="s">
        <v>1205</v>
      </c>
      <c r="B153" s="63"/>
      <c r="C153" s="64" t="n">
        <f aca="false">SUM(E153:P153)</f>
        <v>181008.388389369</v>
      </c>
      <c r="D153" s="64" t="n">
        <f aca="false">SUM(Q153:AB153)</f>
        <v>218926.230268646</v>
      </c>
      <c r="E153" s="65" t="n">
        <f aca="false">IF(E$5="A",Inputs_Actuals!E243,E16*Assumptions!$D$83*IF(Assumptions!E$191=2027,1+Assumptions!$F$175,1)/14)</f>
        <v>13221.4</v>
      </c>
      <c r="F153" s="65" t="n">
        <f aca="false">IF(F$5="A",Inputs_Actuals!F243,F16*Assumptions!$D$83*IF(Assumptions!F$191=2027,1+Assumptions!$F$175,1)/14)</f>
        <v>13229.92</v>
      </c>
      <c r="G153" s="65" t="n">
        <f aca="false">IF(G$5="A",Inputs_Actuals!G243,G16*Assumptions!$D$83*IF(Assumptions!G$191=2027,1+Assumptions!$F$175,1)/14)</f>
        <v>13259.11</v>
      </c>
      <c r="H153" s="65" t="n">
        <f aca="false">IF(H$5="A",Inputs_Actuals!H243,H16*Assumptions!$D$83*IF(Assumptions!H$191=2027,1+Assumptions!$F$175,1)/14)</f>
        <v>15890.78</v>
      </c>
      <c r="I153" s="65" t="n">
        <f aca="false">IF(I$5="A",Inputs_Actuals!I243,I16*Assumptions!$D$83*IF(Assumptions!I$191=2027,1+Assumptions!$F$175,1)/14)</f>
        <v>15902.31</v>
      </c>
      <c r="J153" s="65" t="n">
        <f aca="false">IF(J$5="A",Inputs_Actuals!J243,J16*Assumptions!$D$83*IF(Assumptions!J$191=2027,1+Assumptions!$F$175,1)/14)</f>
        <v>15833.14</v>
      </c>
      <c r="K153" s="65" t="n">
        <f aca="false">IF(K$5="A",Inputs_Actuals!K243,K16*Assumptions!$D$83*IF(Assumptions!K$191=2027,1+Assumptions!$F$175,1)/14)</f>
        <v>15788.29</v>
      </c>
      <c r="L153" s="65" t="n">
        <f aca="false">IF(L$5="A",Inputs_Actuals!L243,L16*Assumptions!$D$83*IF(Assumptions!L$191=2027,1+Assumptions!$F$175,1)/14)</f>
        <v>15822.7</v>
      </c>
      <c r="M153" s="65" t="n">
        <f aca="false">IF(M$5="A",Inputs_Actuals!M243,M16*Assumptions!$D$83*IF(Assumptions!M$191=2027,1+Assumptions!$F$175,1)/14)</f>
        <v>15658.9285714286</v>
      </c>
      <c r="N153" s="65" t="n">
        <f aca="false">IF(N$5="A",Inputs_Actuals!N243,N16*Assumptions!$D$83*IF(Assumptions!N$191=2027,1+Assumptions!$F$175,1)/14)</f>
        <v>15463.1919642857</v>
      </c>
      <c r="O153" s="65" t="n">
        <f aca="false">IF(O$5="A",Inputs_Actuals!O243,O16*Assumptions!$D$83*IF(Assumptions!O$191=2027,1+Assumptions!$F$175,1)/14)</f>
        <v>15468.1163504464</v>
      </c>
      <c r="P153" s="65" t="n">
        <f aca="false">IF(P$5="A",Inputs_Actuals!P243,P16*Assumptions!$D$83*IF(Assumptions!P$191=2027,1+Assumptions!$F$175,1)/14)</f>
        <v>15470.5015032087</v>
      </c>
      <c r="Q153" s="65" t="n">
        <f aca="false">IF(Q$5="A",Inputs_Actuals!Q243,Q16*Assumptions!$D$83*IF(Assumptions!Q$191=2027,1+Assumptions!$F$175,1)/14)</f>
        <v>16011.8744886612</v>
      </c>
      <c r="R153" s="65" t="n">
        <f aca="false">IF(R$5="A",Inputs_Actuals!R243,R16*Assumptions!$D$83*IF(Assumptions!R$191=2027,1+Assumptions!$F$175,1)/14)</f>
        <v>16011.8448128368</v>
      </c>
      <c r="S153" s="65" t="n">
        <f aca="false">IF(S$5="A",Inputs_Actuals!S243,S16*Assumptions!$D$83*IF(Assumptions!S$191=2027,1+Assumptions!$F$175,1)/14)</f>
        <v>18747.2035087313</v>
      </c>
      <c r="T153" s="65" t="n">
        <f aca="false">IF(T$5="A",Inputs_Actuals!T243,T16*Assumptions!$D$83*IF(Assumptions!T$191=2027,1+Assumptions!$F$175,1)/14)</f>
        <v>18713.0118959804</v>
      </c>
      <c r="U153" s="65" t="n">
        <f aca="false">IF(U$5="A",Inputs_Actuals!U243,U16*Assumptions!$D$83*IF(Assumptions!U$191=2027,1+Assumptions!$F$175,1)/14)</f>
        <v>18679.2473074411</v>
      </c>
      <c r="V153" s="65" t="n">
        <f aca="false">IF(V$5="A",Inputs_Actuals!V243,V16*Assumptions!$D$83*IF(Assumptions!V$191=2027,1+Assumptions!$F$175,1)/14)</f>
        <v>18680.0967599572</v>
      </c>
      <c r="W153" s="65" t="n">
        <f aca="false">IF(W$5="A",Inputs_Actuals!W243,W16*Assumptions!$D$83*IF(Assumptions!W$191=2027,1+Assumptions!$F$175,1)/14)</f>
        <v>18680.5081991575</v>
      </c>
      <c r="X153" s="65" t="n">
        <f aca="false">IF(X$5="A",Inputs_Actuals!X243,X16*Assumptions!$D$83*IF(Assumptions!X$191=2027,1+Assumptions!$F$175,1)/14)</f>
        <v>18680.4924380111</v>
      </c>
      <c r="Y153" s="65" t="n">
        <f aca="false">IF(Y$5="A",Inputs_Actuals!Y243,Y16*Assumptions!$D$83*IF(Assumptions!Y$191=2027,1+Assumptions!$F$175,1)/14)</f>
        <v>18680.4874920354</v>
      </c>
      <c r="Z153" s="65" t="n">
        <f aca="false">IF(Z$5="A",Inputs_Actuals!Z243,Z16*Assumptions!$D$83*IF(Assumptions!Z$191=2027,1+Assumptions!$F$175,1)/14)</f>
        <v>18680.4877508744</v>
      </c>
      <c r="AA153" s="65" t="n">
        <f aca="false">IF(AA$5="A",Inputs_Actuals!AA243,AA16*Assumptions!$D$83*IF(Assumptions!AA$191=2027,1+Assumptions!$F$175,1)/14)</f>
        <v>18680.4878094636</v>
      </c>
      <c r="AB153" s="65" t="n">
        <f aca="false">IF(AB$5="A",Inputs_Actuals!AB243,AB16*Assumptions!$D$83*IF(Assumptions!AB$191=2027,1+Assumptions!$F$175,1)/14)</f>
        <v>18680.4878054958</v>
      </c>
    </row>
    <row r="154" customFormat="false" ht="15" hidden="false" customHeight="false" outlineLevel="0" collapsed="false">
      <c r="A154" s="28" t="s">
        <v>1206</v>
      </c>
      <c r="B154" s="63"/>
      <c r="C154" s="64" t="n">
        <f aca="false">SUM(E154:P154)</f>
        <v>30164.8963982282</v>
      </c>
      <c r="D154" s="64" t="n">
        <f aca="false">SUM(Q154:AB154)</f>
        <v>36487.7050447743</v>
      </c>
      <c r="E154" s="65" t="n">
        <f aca="false">IF(E$5="A",Inputs_Actuals!E242,E95)</f>
        <v>2202.38</v>
      </c>
      <c r="F154" s="65" t="n">
        <f aca="false">IF(F$5="A",Inputs_Actuals!F242,F95)</f>
        <v>2202.38</v>
      </c>
      <c r="G154" s="65" t="n">
        <f aca="false">IF(G$5="A",Inputs_Actuals!G242,G95)</f>
        <v>2202.38</v>
      </c>
      <c r="H154" s="65" t="n">
        <f aca="false">IF(H$5="A",Inputs_Actuals!H242,H95)</f>
        <v>2642.86</v>
      </c>
      <c r="I154" s="65" t="n">
        <f aca="false">IF(I$5="A",Inputs_Actuals!I242,I95)</f>
        <v>2642.86</v>
      </c>
      <c r="J154" s="65" t="n">
        <f aca="false">IF(J$5="A",Inputs_Actuals!J242,J95)</f>
        <v>2642.86</v>
      </c>
      <c r="K154" s="65" t="n">
        <f aca="false">IF(K$5="A",Inputs_Actuals!K242,K95)</f>
        <v>2642.86</v>
      </c>
      <c r="L154" s="65" t="n">
        <f aca="false">IF(L$5="A",Inputs_Actuals!L242,L95)</f>
        <v>2642.86</v>
      </c>
      <c r="M154" s="65" t="n">
        <f aca="false">IF(M$5="A",Inputs_Actuals!M242,M95)</f>
        <v>2609.82142857143</v>
      </c>
      <c r="N154" s="65" t="n">
        <f aca="false">IF(N$5="A",Inputs_Actuals!N242,N95)</f>
        <v>2577.19866071429</v>
      </c>
      <c r="O154" s="65" t="n">
        <f aca="false">IF(O$5="A",Inputs_Actuals!O242,O95)</f>
        <v>2578.01939174107</v>
      </c>
      <c r="P154" s="65" t="n">
        <f aca="false">IF(P$5="A",Inputs_Actuals!P242,P95)</f>
        <v>2578.41691720145</v>
      </c>
      <c r="Q154" s="65" t="n">
        <f aca="false">IF(Q$5="A",Inputs_Actuals!Q242,Q95)</f>
        <v>2668.6457481102</v>
      </c>
      <c r="R154" s="65" t="n">
        <f aca="false">IF(R$5="A",Inputs_Actuals!R242,R95)</f>
        <v>2668.64080213947</v>
      </c>
      <c r="S154" s="65" t="n">
        <f aca="false">IF(S$5="A",Inputs_Actuals!S242,S95)</f>
        <v>3124.53391812188</v>
      </c>
      <c r="T154" s="65" t="n">
        <f aca="false">IF(T$5="A",Inputs_Actuals!T242,T95)</f>
        <v>3118.83531599673</v>
      </c>
      <c r="U154" s="65" t="n">
        <f aca="false">IF(U$5="A",Inputs_Actuals!U242,U95)</f>
        <v>3113.20788457352</v>
      </c>
      <c r="V154" s="65" t="n">
        <f aca="false">IF(V$5="A",Inputs_Actuals!V242,V95)</f>
        <v>3113.34945999287</v>
      </c>
      <c r="W154" s="65" t="n">
        <f aca="false">IF(W$5="A",Inputs_Actuals!W242,W95)</f>
        <v>3113.41803319292</v>
      </c>
      <c r="X154" s="65" t="n">
        <f aca="false">IF(X$5="A",Inputs_Actuals!X242,X95)</f>
        <v>3113.41540633518</v>
      </c>
      <c r="Y154" s="65" t="n">
        <f aca="false">IF(Y$5="A",Inputs_Actuals!Y242,Y95)</f>
        <v>3113.4145820059</v>
      </c>
      <c r="Z154" s="65" t="n">
        <f aca="false">IF(Z$5="A",Inputs_Actuals!Z242,Z95)</f>
        <v>3113.41462514574</v>
      </c>
      <c r="AA154" s="65" t="n">
        <f aca="false">IF(AA$5="A",Inputs_Actuals!AA242,AA95)</f>
        <v>3113.41463491061</v>
      </c>
      <c r="AB154" s="65" t="n">
        <f aca="false">IF(AB$5="A",Inputs_Actuals!AB242,AB95)</f>
        <v>3113.4146342493</v>
      </c>
    </row>
    <row r="155" customFormat="false" ht="15" hidden="false" customHeight="false" outlineLevel="0" collapsed="false">
      <c r="A155" s="28" t="s">
        <v>1207</v>
      </c>
      <c r="B155" s="63" t="s">
        <v>1177</v>
      </c>
      <c r="C155" s="64" t="n">
        <f aca="false">SUM(E155:P155)</f>
        <v>30164.8963982282</v>
      </c>
      <c r="D155" s="64" t="n">
        <f aca="false">SUM(Q155:AB155)</f>
        <v>36487.7050447743</v>
      </c>
      <c r="E155" s="65" t="n">
        <f aca="false">IF(E$5="A",Inputs_Actuals!E244,IF(Assumptions!E$211=1,SUM(E154:E154),0))</f>
        <v>0</v>
      </c>
      <c r="F155" s="65" t="n">
        <f aca="false">IF(F$5="A",Inputs_Actuals!F244,IF(Assumptions!F$211=1,SUM(E154:F154),0))</f>
        <v>0</v>
      </c>
      <c r="G155" s="65" t="n">
        <f aca="false">IF(G$5="A",Inputs_Actuals!G244,IF(Assumptions!G$211=1,SUM(E154:G154),0))</f>
        <v>0</v>
      </c>
      <c r="H155" s="65" t="n">
        <f aca="false">IF(H$5="A",Inputs_Actuals!H244,IF(Assumptions!H$211=1,SUM(E154:H154),0))</f>
        <v>0</v>
      </c>
      <c r="I155" s="65" t="n">
        <f aca="false">IF(I$5="A",Inputs_Actuals!I244,IF(Assumptions!I$211=1,SUM(E154:I154),0))</f>
        <v>0</v>
      </c>
      <c r="J155" s="65" t="n">
        <f aca="false">IF(J$5="A",Inputs_Actuals!J244,IF(Assumptions!J$211=1,SUM(E154:J154),0))</f>
        <v>14535.72</v>
      </c>
      <c r="K155" s="65" t="n">
        <f aca="false">IF(K$5="A",Inputs_Actuals!K244,IF(Assumptions!K$211=1,SUM(F154:K154),0))</f>
        <v>0</v>
      </c>
      <c r="L155" s="65" t="n">
        <f aca="false">IF(L$5="A",Inputs_Actuals!L244,IF(Assumptions!L$211=1,SUM(G154:L154),0))</f>
        <v>0</v>
      </c>
      <c r="M155" s="65" t="n">
        <f aca="false">IF(M$5="A",Inputs_Actuals!M244,IF(Assumptions!M$211=1,SUM(H154:M154),0))</f>
        <v>0</v>
      </c>
      <c r="N155" s="65" t="n">
        <f aca="false">IF(N$5="A",Inputs_Actuals!N244,IF(Assumptions!N$211=1,SUM(I154:N154),0))</f>
        <v>0</v>
      </c>
      <c r="O155" s="65" t="n">
        <f aca="false">IF(O$5="A",Inputs_Actuals!O244,IF(Assumptions!O$211=1,SUM(J154:O154),0))</f>
        <v>0</v>
      </c>
      <c r="P155" s="65" t="n">
        <f aca="false">IF(P$5="A",Inputs_Actuals!P244,IF(Assumptions!P$211=1,SUM(K154:P154),0))</f>
        <v>15629.1763982282</v>
      </c>
      <c r="Q155" s="65" t="n">
        <f aca="false">IF(Q$5="A",Inputs_Actuals!Q244,IF(Assumptions!Q$211=1,SUM(L154:Q154),0))</f>
        <v>0</v>
      </c>
      <c r="R155" s="65" t="n">
        <f aca="false">IF(R$5="A",Inputs_Actuals!R244,IF(Assumptions!R$211=1,SUM(M154:R154),0))</f>
        <v>0</v>
      </c>
      <c r="S155" s="65" t="n">
        <f aca="false">IF(S$5="A",Inputs_Actuals!S244,IF(Assumptions!S$211=1,SUM(N154:S154),0))</f>
        <v>0</v>
      </c>
      <c r="T155" s="65" t="n">
        <f aca="false">IF(T$5="A",Inputs_Actuals!T244,IF(Assumptions!T$211=1,SUM(O154:T154),0))</f>
        <v>0</v>
      </c>
      <c r="U155" s="65" t="n">
        <f aca="false">IF(U$5="A",Inputs_Actuals!U244,IF(Assumptions!U$211=1,SUM(P154:U154),0))</f>
        <v>0</v>
      </c>
      <c r="V155" s="65" t="n">
        <f aca="false">IF(V$5="A",Inputs_Actuals!V244,IF(Assumptions!V$211=1,SUM(Q154:V154),0))</f>
        <v>17807.2131289347</v>
      </c>
      <c r="W155" s="65" t="n">
        <f aca="false">IF(W$5="A",Inputs_Actuals!W244,IF(Assumptions!W$211=1,SUM(R154:W154),0))</f>
        <v>0</v>
      </c>
      <c r="X155" s="65" t="n">
        <f aca="false">IF(X$5="A",Inputs_Actuals!X244,IF(Assumptions!X$211=1,SUM(S154:X154),0))</f>
        <v>0</v>
      </c>
      <c r="Y155" s="65" t="n">
        <f aca="false">IF(Y$5="A",Inputs_Actuals!Y244,IF(Assumptions!Y$211=1,SUM(T154:Y154),0))</f>
        <v>0</v>
      </c>
      <c r="Z155" s="65" t="n">
        <f aca="false">IF(Z$5="A",Inputs_Actuals!Z244,IF(Assumptions!Z$211=1,SUM(U154:Z154),0))</f>
        <v>0</v>
      </c>
      <c r="AA155" s="65" t="n">
        <f aca="false">IF(AA$5="A",Inputs_Actuals!AA244,IF(Assumptions!AA$211=1,SUM(V154:AA154),0))</f>
        <v>0</v>
      </c>
      <c r="AB155" s="65" t="n">
        <f aca="false">IF(AB$5="A",Inputs_Actuals!AB244,IF(Assumptions!AB$211=1,SUM(W154:AB154),0))</f>
        <v>18680.4919158396</v>
      </c>
    </row>
    <row r="156" customFormat="false" ht="15" hidden="false" customHeight="false" outlineLevel="0" collapsed="false">
      <c r="A156" s="28" t="s">
        <v>1208</v>
      </c>
      <c r="B156" s="63"/>
      <c r="C156" s="64" t="n">
        <f aca="false">SUM(E156:P156)</f>
        <v>13725.4126611938</v>
      </c>
      <c r="D156" s="64" t="n">
        <f aca="false">SUM(Q156:AB156)</f>
        <v>16652.988582435</v>
      </c>
      <c r="E156" s="65" t="n">
        <f aca="false">IF(E$5="A",Inputs_Actuals!E246,E80)</f>
        <v>1001.48</v>
      </c>
      <c r="F156" s="65" t="n">
        <f aca="false">IF(F$5="A",Inputs_Actuals!F246,F80)</f>
        <v>1000.94</v>
      </c>
      <c r="G156" s="65" t="n">
        <f aca="false">IF(G$5="A",Inputs_Actuals!G246,G80)</f>
        <v>997.59</v>
      </c>
      <c r="H156" s="65" t="n">
        <f aca="false">IF(H$5="A",Inputs_Actuals!H246,H80)</f>
        <v>1209.77</v>
      </c>
      <c r="I156" s="65" t="n">
        <f aca="false">IF(I$5="A",Inputs_Actuals!I246,I80)</f>
        <v>1197.37</v>
      </c>
      <c r="J156" s="65" t="n">
        <f aca="false">IF(J$5="A",Inputs_Actuals!J246,J80)</f>
        <v>1203.18</v>
      </c>
      <c r="K156" s="65" t="n">
        <f aca="false">IF(K$5="A",Inputs_Actuals!K246,K80)</f>
        <v>1205.06</v>
      </c>
      <c r="L156" s="65" t="n">
        <f aca="false">IF(L$5="A",Inputs_Actuals!L246,L80)</f>
        <v>1203.75</v>
      </c>
      <c r="M156" s="65" t="n">
        <f aca="false">IF(M$5="A",Inputs_Actuals!M246,M80)</f>
        <v>1187.46875</v>
      </c>
      <c r="N156" s="65" t="n">
        <f aca="false">IF(N$5="A",Inputs_Actuals!N246,N80)</f>
        <v>1172.625390625</v>
      </c>
      <c r="O156" s="65" t="n">
        <f aca="false">IF(O$5="A",Inputs_Actuals!O246,O80)</f>
        <v>1172.99882324219</v>
      </c>
      <c r="P156" s="65" t="n">
        <f aca="false">IF(P$5="A",Inputs_Actuals!P246,P80)</f>
        <v>1173.17969732666</v>
      </c>
      <c r="Q156" s="65" t="n">
        <f aca="false">IF(Q$5="A",Inputs_Actuals!Q246,Q80)</f>
        <v>1217.96991943749</v>
      </c>
      <c r="R156" s="65" t="n">
        <f aca="false">IF(R$5="A",Inputs_Actuals!R246,R80)</f>
        <v>1217.96766209646</v>
      </c>
      <c r="S156" s="65" t="n">
        <f aca="false">IF(S$5="A",Inputs_Actuals!S246,S80)</f>
        <v>1426.03728023083</v>
      </c>
      <c r="T156" s="65" t="n">
        <f aca="false">IF(T$5="A",Inputs_Actuals!T246,T80)</f>
        <v>1423.43643822091</v>
      </c>
      <c r="U156" s="65" t="n">
        <f aca="false">IF(U$5="A",Inputs_Actuals!U246,U80)</f>
        <v>1420.86807851935</v>
      </c>
      <c r="V156" s="65" t="n">
        <f aca="false">IF(V$5="A",Inputs_Actuals!V246,V80)</f>
        <v>1420.93269354075</v>
      </c>
      <c r="W156" s="65" t="n">
        <f aca="false">IF(W$5="A",Inputs_Actuals!W246,W80)</f>
        <v>1420.96399034925</v>
      </c>
      <c r="X156" s="65" t="n">
        <f aca="false">IF(X$5="A",Inputs_Actuals!X246,X80)</f>
        <v>1420.96279145138</v>
      </c>
      <c r="Y156" s="65" t="n">
        <f aca="false">IF(Y$5="A",Inputs_Actuals!Y246,Y80)</f>
        <v>1420.96241522749</v>
      </c>
      <c r="Z156" s="65" t="n">
        <f aca="false">IF(Z$5="A",Inputs_Actuals!Z246,Z80)</f>
        <v>1420.96243491651</v>
      </c>
      <c r="AA156" s="65" t="n">
        <f aca="false">IF(AA$5="A",Inputs_Actuals!AA246,AA80)</f>
        <v>1420.9624393732</v>
      </c>
      <c r="AB156" s="65" t="n">
        <f aca="false">IF(AB$5="A",Inputs_Actuals!AB246,AB80)</f>
        <v>1420.96243907138</v>
      </c>
    </row>
    <row r="157" customFormat="false" ht="15" hidden="false" customHeight="false" outlineLevel="0" collapsed="false">
      <c r="A157" s="28" t="s">
        <v>1209</v>
      </c>
      <c r="B157" s="63"/>
      <c r="C157" s="64" t="n">
        <f aca="false">SUM(E157:P157)</f>
        <v>31673.1163609968</v>
      </c>
      <c r="D157" s="64" t="n">
        <f aca="false">SUM(Q157:AB157)</f>
        <v>38312.090297013</v>
      </c>
      <c r="E157" s="65" t="n">
        <f aca="false">IF(E$5="A",Inputs_Actuals!E247,E110)</f>
        <v>1982.14</v>
      </c>
      <c r="F157" s="65" t="n">
        <f aca="false">IF(F$5="A",Inputs_Actuals!F247,F110)</f>
        <v>1982.14</v>
      </c>
      <c r="G157" s="65" t="n">
        <f aca="false">IF(G$5="A",Inputs_Actuals!G247,G110)</f>
        <v>1982.14</v>
      </c>
      <c r="H157" s="65" t="n">
        <f aca="false">IF(H$5="A",Inputs_Actuals!H247,H110)</f>
        <v>2378.57</v>
      </c>
      <c r="I157" s="65" t="n">
        <f aca="false">IF(I$5="A",Inputs_Actuals!I247,I110)</f>
        <v>2378.57</v>
      </c>
      <c r="J157" s="65" t="n">
        <f aca="false">IF(J$5="A",Inputs_Actuals!J247,J110)</f>
        <v>4558.93</v>
      </c>
      <c r="K157" s="65" t="n">
        <f aca="false">IF(K$5="A",Inputs_Actuals!K247,K110)</f>
        <v>2378.57</v>
      </c>
      <c r="L157" s="65" t="n">
        <f aca="false">IF(L$5="A",Inputs_Actuals!L247,L110)</f>
        <v>2378.57</v>
      </c>
      <c r="M157" s="65" t="n">
        <f aca="false">IF(M$5="A",Inputs_Actuals!M247,M110)</f>
        <v>2348.83928571429</v>
      </c>
      <c r="N157" s="65" t="n">
        <f aca="false">IF(N$5="A",Inputs_Actuals!N247,N110)</f>
        <v>2319.47879464286</v>
      </c>
      <c r="O157" s="65" t="n">
        <f aca="false">IF(O$5="A",Inputs_Actuals!O247,O110)</f>
        <v>2320.21745256696</v>
      </c>
      <c r="P157" s="65" t="n">
        <f aca="false">IF(P$5="A",Inputs_Actuals!P247,P110)</f>
        <v>4664.95082807268</v>
      </c>
      <c r="Q157" s="65" t="n">
        <f aca="false">IF(Q$5="A",Inputs_Actuals!Q247,Q110)</f>
        <v>2401.78117329918</v>
      </c>
      <c r="R157" s="65" t="n">
        <f aca="false">IF(R$5="A",Inputs_Actuals!R247,R110)</f>
        <v>2401.77672192552</v>
      </c>
      <c r="S157" s="65" t="n">
        <f aca="false">IF(S$5="A",Inputs_Actuals!S247,S110)</f>
        <v>2812.08052630969</v>
      </c>
      <c r="T157" s="65" t="n">
        <f aca="false">IF(T$5="A",Inputs_Actuals!T247,T110)</f>
        <v>2806.95178439706</v>
      </c>
      <c r="U157" s="65" t="n">
        <f aca="false">IF(U$5="A",Inputs_Actuals!U247,U110)</f>
        <v>2801.88709611617</v>
      </c>
      <c r="V157" s="65" t="n">
        <f aca="false">IF(V$5="A",Inputs_Actuals!V247,V110)</f>
        <v>5473.09648333379</v>
      </c>
      <c r="W157" s="65" t="n">
        <f aca="false">IF(W$5="A",Inputs_Actuals!W247,W110)</f>
        <v>2802.07622987363</v>
      </c>
      <c r="X157" s="65" t="n">
        <f aca="false">IF(X$5="A",Inputs_Actuals!X247,X110)</f>
        <v>2802.07386570166</v>
      </c>
      <c r="Y157" s="65" t="n">
        <f aca="false">IF(Y$5="A",Inputs_Actuals!Y247,Y110)</f>
        <v>2802.07312380531</v>
      </c>
      <c r="Z157" s="65" t="n">
        <f aca="false">IF(Z$5="A",Inputs_Actuals!Z247,Z110)</f>
        <v>2802.07316263116</v>
      </c>
      <c r="AA157" s="65" t="n">
        <f aca="false">IF(AA$5="A",Inputs_Actuals!AA247,AA110)</f>
        <v>2802.07317141954</v>
      </c>
      <c r="AB157" s="65" t="n">
        <f aca="false">IF(AB$5="A",Inputs_Actuals!AB247,AB110)</f>
        <v>5604.14695820031</v>
      </c>
    </row>
    <row r="158" customFormat="false" ht="15" hidden="false" customHeight="false" outlineLevel="0" collapsed="false">
      <c r="A158" s="28" t="s">
        <v>1210</v>
      </c>
      <c r="B158" s="63"/>
      <c r="C158" s="64" t="n">
        <f aca="false">SUM(E158:P158)</f>
        <v>165774.755765407</v>
      </c>
      <c r="D158" s="64" t="n">
        <f aca="false">SUM(Q158:AB158)</f>
        <v>200448.856433972</v>
      </c>
      <c r="E158" s="74" t="n">
        <f aca="false">E153+E155-E157-E156</f>
        <v>10237.78</v>
      </c>
      <c r="F158" s="74" t="n">
        <f aca="false">F153+F155-F157-F156</f>
        <v>10246.84</v>
      </c>
      <c r="G158" s="74" t="n">
        <f aca="false">G153+G155-G157-G156</f>
        <v>10279.38</v>
      </c>
      <c r="H158" s="74" t="n">
        <f aca="false">H153+H155-H157-H156</f>
        <v>12302.44</v>
      </c>
      <c r="I158" s="74" t="n">
        <f aca="false">I153+I155-I157-I156</f>
        <v>12326.37</v>
      </c>
      <c r="J158" s="74" t="n">
        <f aca="false">J153+J155-J157-J156</f>
        <v>24606.75</v>
      </c>
      <c r="K158" s="74" t="n">
        <f aca="false">K153+K155-K157-K156</f>
        <v>12204.66</v>
      </c>
      <c r="L158" s="74" t="n">
        <f aca="false">L153+L155-L157-L156</f>
        <v>12240.38</v>
      </c>
      <c r="M158" s="74" t="n">
        <f aca="false">M153+M155-M157-M156</f>
        <v>12122.6205357143</v>
      </c>
      <c r="N158" s="74" t="n">
        <f aca="false">N153+N155-N157-N156</f>
        <v>11971.0877790179</v>
      </c>
      <c r="O158" s="74" t="n">
        <f aca="false">O153+O155-O157-O156</f>
        <v>11974.9000746373</v>
      </c>
      <c r="P158" s="74" t="n">
        <f aca="false">P153+P155-P157-P156</f>
        <v>25261.5473760376</v>
      </c>
      <c r="Q158" s="74" t="n">
        <f aca="false">Q153+Q155-Q157-Q156</f>
        <v>12392.1233959245</v>
      </c>
      <c r="R158" s="74" t="n">
        <f aca="false">R153+R155-R157-R156</f>
        <v>12392.1004288149</v>
      </c>
      <c r="S158" s="74" t="n">
        <f aca="false">S153+S155-S157-S156</f>
        <v>14509.0857021908</v>
      </c>
      <c r="T158" s="74" t="n">
        <f aca="false">T153+T155-T157-T156</f>
        <v>14482.6236733624</v>
      </c>
      <c r="U158" s="74" t="n">
        <f aca="false">U153+U155-U157-U156</f>
        <v>14456.4921328056</v>
      </c>
      <c r="V158" s="74" t="n">
        <f aca="false">V153+V155-V157-V156</f>
        <v>29593.2807120174</v>
      </c>
      <c r="W158" s="74" t="n">
        <f aca="false">W153+W155-W157-W156</f>
        <v>14457.4679789346</v>
      </c>
      <c r="X158" s="74" t="n">
        <f aca="false">X153+X155-X157-X156</f>
        <v>14457.455780858</v>
      </c>
      <c r="Y158" s="74" t="n">
        <f aca="false">Y153+Y155-Y157-Y156</f>
        <v>14457.4519530026</v>
      </c>
      <c r="Z158" s="74" t="n">
        <f aca="false">Z153+Z155-Z157-Z156</f>
        <v>14457.4521533267</v>
      </c>
      <c r="AA158" s="74" t="n">
        <f aca="false">AA153+AA155-AA157-AA156</f>
        <v>14457.4521986709</v>
      </c>
      <c r="AB158" s="74" t="n">
        <f aca="false">AB153+AB155-AB157-AB156</f>
        <v>30335.8703240637</v>
      </c>
    </row>
    <row r="159" customFormat="false" ht="15" hidden="false" customHeight="false" outlineLevel="0" collapsed="false">
      <c r="A159" s="28" t="s">
        <v>1211</v>
      </c>
      <c r="B159" s="63"/>
      <c r="C159" s="68" t="n">
        <f aca="false">P159</f>
        <v>6.82885952148438</v>
      </c>
      <c r="D159" s="68" t="n">
        <f aca="false">AB159</f>
        <v>7.8048780290377</v>
      </c>
      <c r="E159" s="80" t="n">
        <f aca="false">E17</f>
        <v>5</v>
      </c>
      <c r="F159" s="80" t="n">
        <f aca="false">F17</f>
        <v>5</v>
      </c>
      <c r="G159" s="80" t="n">
        <f aca="false">G17</f>
        <v>5</v>
      </c>
      <c r="H159" s="80" t="n">
        <f aca="false">H17</f>
        <v>5</v>
      </c>
      <c r="I159" s="80" t="n">
        <f aca="false">I17</f>
        <v>5</v>
      </c>
      <c r="J159" s="80" t="n">
        <f aca="false">J17</f>
        <v>6</v>
      </c>
      <c r="K159" s="80" t="n">
        <f aca="false">K17</f>
        <v>6</v>
      </c>
      <c r="L159" s="80" t="n">
        <f aca="false">L17</f>
        <v>6</v>
      </c>
      <c r="M159" s="80" t="n">
        <f aca="false">M17</f>
        <v>5.925</v>
      </c>
      <c r="N159" s="80" t="n">
        <f aca="false">N17</f>
        <v>6.8509375</v>
      </c>
      <c r="O159" s="80" t="n">
        <f aca="false">O17</f>
        <v>6.84030078125</v>
      </c>
      <c r="P159" s="80" t="n">
        <f aca="false">P17</f>
        <v>6.82885952148438</v>
      </c>
      <c r="Q159" s="80" t="n">
        <f aca="false">Q17</f>
        <v>6.82913549621582</v>
      </c>
      <c r="R159" s="80" t="n">
        <f aca="false">R17</f>
        <v>6.82927506227875</v>
      </c>
      <c r="S159" s="80" t="n">
        <f aca="false">S17</f>
        <v>6.82926986801882</v>
      </c>
      <c r="T159" s="80" t="n">
        <f aca="false">T17</f>
        <v>6.82926818837128</v>
      </c>
      <c r="U159" s="80" t="n">
        <f aca="false">U17</f>
        <v>7.82926827429512</v>
      </c>
      <c r="V159" s="80" t="n">
        <f aca="false">V17</f>
        <v>7.81676829421667</v>
      </c>
      <c r="W159" s="80" t="n">
        <f aca="false">W17</f>
        <v>7.8044245428936</v>
      </c>
      <c r="X159" s="80" t="n">
        <f aca="false">X17</f>
        <v>7.80473508953612</v>
      </c>
      <c r="Y159" s="80" t="n">
        <f aca="false">Y17</f>
        <v>7.80488550459463</v>
      </c>
      <c r="Z159" s="80" t="n">
        <f aca="false">Z17</f>
        <v>7.80487974257337</v>
      </c>
      <c r="AA159" s="80" t="n">
        <f aca="false">AA17</f>
        <v>7.8048779344104</v>
      </c>
      <c r="AB159" s="80" t="n">
        <f aca="false">AB17</f>
        <v>7.8048780290377</v>
      </c>
    </row>
    <row r="160" customFormat="false" ht="15" hidden="false" customHeight="false" outlineLevel="0" collapsed="false">
      <c r="A160" s="28" t="s">
        <v>1212</v>
      </c>
      <c r="B160" s="63"/>
      <c r="C160" s="64" t="n">
        <f aca="false">SUM(E160:P160)</f>
        <v>243118.22230957</v>
      </c>
      <c r="D160" s="64" t="n">
        <f aca="false">SUM(Q160:AB160)</f>
        <v>325270.310180787</v>
      </c>
      <c r="E160" s="65" t="n">
        <f aca="false">IF(E$5="A",Inputs_Actuals!E248,E51)</f>
        <v>17497.47</v>
      </c>
      <c r="F160" s="65" t="n">
        <f aca="false">IF(F$5="A",Inputs_Actuals!F248,F51)</f>
        <v>17508.71</v>
      </c>
      <c r="G160" s="65" t="n">
        <f aca="false">IF(G$5="A",Inputs_Actuals!G248,G51)</f>
        <v>17507.8</v>
      </c>
      <c r="H160" s="65" t="n">
        <f aca="false">IF(H$5="A",Inputs_Actuals!H248,H51)</f>
        <v>17526.36</v>
      </c>
      <c r="I160" s="65" t="n">
        <f aca="false">IF(I$5="A",Inputs_Actuals!I248,I51)</f>
        <v>17501.32</v>
      </c>
      <c r="J160" s="65" t="n">
        <f aca="false">IF(J$5="A",Inputs_Actuals!J248,J51)</f>
        <v>20971.94</v>
      </c>
      <c r="K160" s="65" t="n">
        <f aca="false">IF(K$5="A",Inputs_Actuals!K248,K51)</f>
        <v>20979.06</v>
      </c>
      <c r="L160" s="65" t="n">
        <f aca="false">IF(L$5="A",Inputs_Actuals!L248,L51)</f>
        <v>21067.72</v>
      </c>
      <c r="M160" s="65" t="n">
        <f aca="false">IF(M$5="A",Inputs_Actuals!M248,M51)</f>
        <v>20737.5</v>
      </c>
      <c r="N160" s="65" t="n">
        <f aca="false">IF(N$5="A",Inputs_Actuals!N248,N51)</f>
        <v>23978.28125</v>
      </c>
      <c r="O160" s="65" t="n">
        <f aca="false">IF(O$5="A",Inputs_Actuals!O248,O51)</f>
        <v>23941.052734375</v>
      </c>
      <c r="P160" s="65" t="n">
        <f aca="false">IF(P$5="A",Inputs_Actuals!P248,P51)</f>
        <v>23901.0083251953</v>
      </c>
      <c r="Q160" s="65" t="n">
        <f aca="false">IF(Q$5="A",Inputs_Actuals!Q248,Q51)</f>
        <v>24738.5433350418</v>
      </c>
      <c r="R160" s="65" t="n">
        <f aca="false">IF(R$5="A",Inputs_Actuals!R248,R51)</f>
        <v>24739.0489131048</v>
      </c>
      <c r="S160" s="65" t="n">
        <f aca="false">IF(S$5="A",Inputs_Actuals!S248,S51)</f>
        <v>24739.0300968982</v>
      </c>
      <c r="T160" s="65" t="n">
        <f aca="false">IF(T$5="A",Inputs_Actuals!T248,T51)</f>
        <v>24739.024012375</v>
      </c>
      <c r="U160" s="65" t="n">
        <f aca="false">IF(U$5="A",Inputs_Actuals!U248,U51)</f>
        <v>28361.5243236341</v>
      </c>
      <c r="V160" s="65" t="n">
        <f aca="false">IF(V$5="A",Inputs_Actuals!V248,V51)</f>
        <v>28316.2431457999</v>
      </c>
      <c r="W160" s="65" t="n">
        <f aca="false">IF(W$5="A",Inputs_Actuals!W248,W51)</f>
        <v>28271.5279066321</v>
      </c>
      <c r="X160" s="65" t="n">
        <f aca="false">IF(X$5="A",Inputs_Actuals!X248,X51)</f>
        <v>28272.6528618446</v>
      </c>
      <c r="Y160" s="65" t="n">
        <f aca="false">IF(Y$5="A",Inputs_Actuals!Y248,Y51)</f>
        <v>28273.197740394</v>
      </c>
      <c r="Z160" s="65" t="n">
        <f aca="false">IF(Z$5="A",Inputs_Actuals!Z248,Z51)</f>
        <v>28273.176867472</v>
      </c>
      <c r="AA160" s="65" t="n">
        <f aca="false">IF(AA$5="A",Inputs_Actuals!AA248,AA51)</f>
        <v>28273.1703174017</v>
      </c>
      <c r="AB160" s="65" t="n">
        <f aca="false">IF(AB$5="A",Inputs_Actuals!AB248,AB51)</f>
        <v>28273.1706601891</v>
      </c>
    </row>
    <row r="161" customFormat="false" ht="15" hidden="false" customHeight="false" outlineLevel="0" collapsed="false">
      <c r="A161" s="28" t="s">
        <v>1213</v>
      </c>
      <c r="B161" s="63"/>
      <c r="C161" s="64" t="n">
        <f aca="false">SUM(E161:P161)</f>
        <v>78163.2263025269</v>
      </c>
      <c r="D161" s="64" t="n">
        <f aca="false">SUM(Q161:AB161)</f>
        <v>104834.620971268</v>
      </c>
      <c r="E161" s="65" t="n">
        <f aca="false">IF(E$5="A",Inputs_Actuals!E252,E66)</f>
        <v>5635.83</v>
      </c>
      <c r="F161" s="65" t="n">
        <f aca="false">IF(F$5="A",Inputs_Actuals!F252,F66)</f>
        <v>5637.28</v>
      </c>
      <c r="G161" s="65" t="n">
        <f aca="false">IF(G$5="A",Inputs_Actuals!G252,G66)</f>
        <v>5633.8</v>
      </c>
      <c r="H161" s="65" t="n">
        <f aca="false">IF(H$5="A",Inputs_Actuals!H252,H66)</f>
        <v>5622.79</v>
      </c>
      <c r="I161" s="65" t="n">
        <f aca="false">IF(I$5="A",Inputs_Actuals!I252,I66)</f>
        <v>5634.69</v>
      </c>
      <c r="J161" s="65" t="n">
        <f aca="false">IF(J$5="A",Inputs_Actuals!J252,J66)</f>
        <v>6744.87</v>
      </c>
      <c r="K161" s="65" t="n">
        <f aca="false">IF(K$5="A",Inputs_Actuals!K252,K66)</f>
        <v>6747.9</v>
      </c>
      <c r="L161" s="65" t="n">
        <f aca="false">IF(L$5="A",Inputs_Actuals!L252,L66)</f>
        <v>6748.72</v>
      </c>
      <c r="M161" s="65" t="n">
        <f aca="false">IF(M$5="A",Inputs_Actuals!M252,M66)</f>
        <v>6667.10625</v>
      </c>
      <c r="N161" s="65" t="n">
        <f aca="false">IF(N$5="A",Inputs_Actuals!N252,N66)</f>
        <v>7709.017421875</v>
      </c>
      <c r="O161" s="65" t="n">
        <f aca="false">IF(O$5="A",Inputs_Actuals!O252,O66)</f>
        <v>7697.04845410156</v>
      </c>
      <c r="P161" s="65" t="n">
        <f aca="false">IF(P$5="A",Inputs_Actuals!P252,P66)</f>
        <v>7684.17417655029</v>
      </c>
      <c r="Q161" s="65" t="n">
        <f aca="false">IF(Q$5="A",Inputs_Actuals!Q252,Q66)</f>
        <v>7973.23251688398</v>
      </c>
      <c r="R161" s="65" t="n">
        <f aca="false">IF(R$5="A",Inputs_Actuals!R252,R66)</f>
        <v>7973.39546469367</v>
      </c>
      <c r="S161" s="65" t="n">
        <f aca="false">IF(S$5="A",Inputs_Actuals!S252,S66)</f>
        <v>7973.38940023028</v>
      </c>
      <c r="T161" s="65" t="n">
        <f aca="false">IF(T$5="A",Inputs_Actuals!T252,T66)</f>
        <v>7973.38743918845</v>
      </c>
      <c r="U161" s="65" t="n">
        <f aca="false">IF(U$5="A",Inputs_Actuals!U252,U66)</f>
        <v>9140.91928950727</v>
      </c>
      <c r="V161" s="65" t="n">
        <f aca="false">IF(V$5="A",Inputs_Actuals!V252,V66)</f>
        <v>9126.3251658913</v>
      </c>
      <c r="W161" s="65" t="n">
        <f aca="false">IF(W$5="A",Inputs_Actuals!W252,W66)</f>
        <v>9111.91344430752</v>
      </c>
      <c r="X161" s="65" t="n">
        <f aca="false">IF(X$5="A",Inputs_Actuals!X252,X66)</f>
        <v>9112.27601737252</v>
      </c>
      <c r="Y161" s="65" t="n">
        <f aca="false">IF(Y$5="A",Inputs_Actuals!Y252,Y66)</f>
        <v>9112.451631729</v>
      </c>
      <c r="Z161" s="65" t="n">
        <f aca="false">IF(Z$5="A",Inputs_Actuals!Z252,Z66)</f>
        <v>9112.44490438623</v>
      </c>
      <c r="AA161" s="65" t="n">
        <f aca="false">IF(AA$5="A",Inputs_Actuals!AA252,AA66)</f>
        <v>9112.44279329856</v>
      </c>
      <c r="AB161" s="65" t="n">
        <f aca="false">IF(AB$5="A",Inputs_Actuals!AB252,AB66)</f>
        <v>9112.44290377894</v>
      </c>
    </row>
    <row r="162" customFormat="false" ht="15" hidden="false" customHeight="false" outlineLevel="0" collapsed="false">
      <c r="A162" s="59" t="s">
        <v>1214</v>
      </c>
      <c r="B162" s="60" t="s">
        <v>1173</v>
      </c>
      <c r="C162" s="61" t="n">
        <f aca="false">SUM(E162:P162)</f>
        <v>321281.448612097</v>
      </c>
      <c r="D162" s="61" t="n">
        <f aca="false">SUM(Q162:AB162)</f>
        <v>430104.931152055</v>
      </c>
      <c r="E162" s="61" t="n">
        <f aca="false">E160+E161</f>
        <v>23133.3</v>
      </c>
      <c r="F162" s="61" t="n">
        <f aca="false">F160+F161</f>
        <v>23145.99</v>
      </c>
      <c r="G162" s="61" t="n">
        <f aca="false">G160+G161</f>
        <v>23141.6</v>
      </c>
      <c r="H162" s="61" t="n">
        <f aca="false">H160+H161</f>
        <v>23149.15</v>
      </c>
      <c r="I162" s="61" t="n">
        <f aca="false">I160+I161</f>
        <v>23136.01</v>
      </c>
      <c r="J162" s="61" t="n">
        <f aca="false">J160+J161</f>
        <v>27716.81</v>
      </c>
      <c r="K162" s="61" t="n">
        <f aca="false">K160+K161</f>
        <v>27726.96</v>
      </c>
      <c r="L162" s="61" t="n">
        <f aca="false">L160+L161</f>
        <v>27816.44</v>
      </c>
      <c r="M162" s="61" t="n">
        <f aca="false">M160+M161</f>
        <v>27404.60625</v>
      </c>
      <c r="N162" s="61" t="n">
        <f aca="false">N160+N161</f>
        <v>31687.298671875</v>
      </c>
      <c r="O162" s="61" t="n">
        <f aca="false">O160+O161</f>
        <v>31638.1011884766</v>
      </c>
      <c r="P162" s="61" t="n">
        <f aca="false">P160+P161</f>
        <v>31585.1825017456</v>
      </c>
      <c r="Q162" s="61" t="n">
        <f aca="false">Q160+Q161</f>
        <v>32711.7758519258</v>
      </c>
      <c r="R162" s="61" t="n">
        <f aca="false">R160+R161</f>
        <v>32712.4443777984</v>
      </c>
      <c r="S162" s="61" t="n">
        <f aca="false">S160+S161</f>
        <v>32712.4194971284</v>
      </c>
      <c r="T162" s="61" t="n">
        <f aca="false">T160+T161</f>
        <v>32712.4114515634</v>
      </c>
      <c r="U162" s="61" t="n">
        <f aca="false">U160+U161</f>
        <v>37502.4436131413</v>
      </c>
      <c r="V162" s="61" t="n">
        <f aca="false">V160+V161</f>
        <v>37442.5683116912</v>
      </c>
      <c r="W162" s="61" t="n">
        <f aca="false">W160+W161</f>
        <v>37383.4413509396</v>
      </c>
      <c r="X162" s="61" t="n">
        <f aca="false">X160+X161</f>
        <v>37384.9288792171</v>
      </c>
      <c r="Y162" s="61" t="n">
        <f aca="false">Y160+Y161</f>
        <v>37385.649372123</v>
      </c>
      <c r="Z162" s="61" t="n">
        <f aca="false">Z160+Z161</f>
        <v>37385.6217718582</v>
      </c>
      <c r="AA162" s="61" t="n">
        <f aca="false">AA160+AA161</f>
        <v>37385.6131107002</v>
      </c>
      <c r="AB162" s="61" t="n">
        <f aca="false">AB160+AB161</f>
        <v>37385.613563968</v>
      </c>
    </row>
    <row r="163" customFormat="false" ht="15" hidden="false" customHeight="false" outlineLevel="0" collapsed="false">
      <c r="A163" s="28" t="s">
        <v>1215</v>
      </c>
      <c r="B163" s="63"/>
      <c r="C163" s="64" t="n">
        <f aca="false">SUM(E163:P163)</f>
        <v>208395.673408203</v>
      </c>
      <c r="D163" s="64" t="n">
        <f aca="false">SUM(Q163:AB163)</f>
        <v>278803.123012103</v>
      </c>
      <c r="E163" s="65" t="n">
        <f aca="false">IF(E$5="A",Inputs_Actuals!E250,E17*Assumptions!$D$84*IF(Assumptions!E$191=2027,1+Assumptions!$F$175,1)/14)</f>
        <v>14997.47</v>
      </c>
      <c r="F163" s="65" t="n">
        <f aca="false">IF(F$5="A",Inputs_Actuals!F250,F17*Assumptions!$D$84*IF(Assumptions!F$191=2027,1+Assumptions!$F$175,1)/14)</f>
        <v>15008.71</v>
      </c>
      <c r="G163" s="65" t="n">
        <f aca="false">IF(G$5="A",Inputs_Actuals!G250,G17*Assumptions!$D$84*IF(Assumptions!G$191=2027,1+Assumptions!$F$175,1)/14)</f>
        <v>15007.8</v>
      </c>
      <c r="H163" s="65" t="n">
        <f aca="false">IF(H$5="A",Inputs_Actuals!H250,H17*Assumptions!$D$84*IF(Assumptions!H$191=2027,1+Assumptions!$F$175,1)/14)</f>
        <v>15026.36</v>
      </c>
      <c r="I163" s="65" t="n">
        <f aca="false">IF(I$5="A",Inputs_Actuals!I250,I17*Assumptions!$D$84*IF(Assumptions!I$191=2027,1+Assumptions!$F$175,1)/14)</f>
        <v>15001.32</v>
      </c>
      <c r="J163" s="65" t="n">
        <f aca="false">IF(J$5="A",Inputs_Actuals!J250,J17*Assumptions!$D$84*IF(Assumptions!J$191=2027,1+Assumptions!$F$175,1)/14)</f>
        <v>17971.94</v>
      </c>
      <c r="K163" s="65" t="n">
        <f aca="false">IF(K$5="A",Inputs_Actuals!K250,K17*Assumptions!$D$84*IF(Assumptions!K$191=2027,1+Assumptions!$F$175,1)/14)</f>
        <v>17979.06</v>
      </c>
      <c r="L163" s="65" t="n">
        <f aca="false">IF(L$5="A",Inputs_Actuals!L250,L17*Assumptions!$D$84*IF(Assumptions!L$191=2027,1+Assumptions!$F$175,1)/14)</f>
        <v>18067.72</v>
      </c>
      <c r="M163" s="65" t="n">
        <f aca="false">IF(M$5="A",Inputs_Actuals!M250,M17*Assumptions!$D$84*IF(Assumptions!M$191=2027,1+Assumptions!$F$175,1)/14)</f>
        <v>17775</v>
      </c>
      <c r="N163" s="65" t="n">
        <f aca="false">IF(N$5="A",Inputs_Actuals!N250,N17*Assumptions!$D$84*IF(Assumptions!N$191=2027,1+Assumptions!$F$175,1)/14)</f>
        <v>20552.8125</v>
      </c>
      <c r="O163" s="65" t="n">
        <f aca="false">IF(O$5="A",Inputs_Actuals!O250,O17*Assumptions!$D$84*IF(Assumptions!O$191=2027,1+Assumptions!$F$175,1)/14)</f>
        <v>20520.90234375</v>
      </c>
      <c r="P163" s="65" t="n">
        <f aca="false">IF(P$5="A",Inputs_Actuals!P250,P17*Assumptions!$D$84*IF(Assumptions!P$191=2027,1+Assumptions!$F$175,1)/14)</f>
        <v>20486.5785644531</v>
      </c>
      <c r="Q163" s="65" t="n">
        <f aca="false">IF(Q$5="A",Inputs_Actuals!Q250,Q17*Assumptions!$D$84*IF(Assumptions!Q$191=2027,1+Assumptions!$F$175,1)/14)</f>
        <v>21204.4657157501</v>
      </c>
      <c r="R163" s="65" t="n">
        <f aca="false">IF(R$5="A",Inputs_Actuals!R250,R17*Assumptions!$D$84*IF(Assumptions!R$191=2027,1+Assumptions!$F$175,1)/14)</f>
        <v>21204.8990683755</v>
      </c>
      <c r="S163" s="65" t="n">
        <f aca="false">IF(S$5="A",Inputs_Actuals!S250,S17*Assumptions!$D$84*IF(Assumptions!S$191=2027,1+Assumptions!$F$175,1)/14)</f>
        <v>21204.8829401984</v>
      </c>
      <c r="T163" s="65" t="n">
        <f aca="false">IF(T$5="A",Inputs_Actuals!T250,T17*Assumptions!$D$84*IF(Assumptions!T$191=2027,1+Assumptions!$F$175,1)/14)</f>
        <v>21204.8777248928</v>
      </c>
      <c r="U163" s="65" t="n">
        <f aca="false">IF(U$5="A",Inputs_Actuals!U250,U17*Assumptions!$D$84*IF(Assumptions!U$191=2027,1+Assumptions!$F$175,1)/14)</f>
        <v>24309.8779916864</v>
      </c>
      <c r="V163" s="65" t="n">
        <f aca="false">IF(V$5="A",Inputs_Actuals!V250,V17*Assumptions!$D$84*IF(Assumptions!V$191=2027,1+Assumptions!$F$175,1)/14)</f>
        <v>24271.0655535428</v>
      </c>
      <c r="W163" s="65" t="n">
        <f aca="false">IF(W$5="A",Inputs_Actuals!W250,W17*Assumptions!$D$84*IF(Assumptions!W$191=2027,1+Assumptions!$F$175,1)/14)</f>
        <v>24232.7382056846</v>
      </c>
      <c r="X163" s="65" t="n">
        <f aca="false">IF(X$5="A",Inputs_Actuals!X250,X17*Assumptions!$D$84*IF(Assumptions!X$191=2027,1+Assumptions!$F$175,1)/14)</f>
        <v>24233.7024530097</v>
      </c>
      <c r="Y163" s="65" t="n">
        <f aca="false">IF(Y$5="A",Inputs_Actuals!Y250,Y17*Assumptions!$D$84*IF(Assumptions!Y$191=2027,1+Assumptions!$F$175,1)/14)</f>
        <v>24234.1694917663</v>
      </c>
      <c r="Z163" s="65" t="n">
        <f aca="false">IF(Z$5="A",Inputs_Actuals!Z250,Z17*Assumptions!$D$84*IF(Assumptions!Z$191=2027,1+Assumptions!$F$175,1)/14)</f>
        <v>24234.1516006903</v>
      </c>
      <c r="AA163" s="65" t="n">
        <f aca="false">IF(AA$5="A",Inputs_Actuals!AA250,AA17*Assumptions!$D$84*IF(Assumptions!AA$191=2027,1+Assumptions!$F$175,1)/14)</f>
        <v>24234.1459863443</v>
      </c>
      <c r="AB163" s="65" t="n">
        <f aca="false">IF(AB$5="A",Inputs_Actuals!AB250,AB17*Assumptions!$D$84*IF(Assumptions!AB$191=2027,1+Assumptions!$F$175,1)/14)</f>
        <v>24234.1462801621</v>
      </c>
    </row>
    <row r="164" customFormat="false" ht="15" hidden="false" customHeight="false" outlineLevel="0" collapsed="false">
      <c r="A164" s="28" t="s">
        <v>1216</v>
      </c>
      <c r="B164" s="63"/>
      <c r="C164" s="64" t="n">
        <f aca="false">SUM(E164:P164)</f>
        <v>34722.5489013672</v>
      </c>
      <c r="D164" s="64" t="n">
        <f aca="false">SUM(Q164:AB164)</f>
        <v>46467.1871686839</v>
      </c>
      <c r="E164" s="65" t="n">
        <f aca="false">IF(E$5="A",Inputs_Actuals!E249,E96)</f>
        <v>2500</v>
      </c>
      <c r="F164" s="65" t="n">
        <f aca="false">IF(F$5="A",Inputs_Actuals!F249,F96)</f>
        <v>2500</v>
      </c>
      <c r="G164" s="65" t="n">
        <f aca="false">IF(G$5="A",Inputs_Actuals!G249,G96)</f>
        <v>2500</v>
      </c>
      <c r="H164" s="65" t="n">
        <f aca="false">IF(H$5="A",Inputs_Actuals!H249,H96)</f>
        <v>2500</v>
      </c>
      <c r="I164" s="65" t="n">
        <f aca="false">IF(I$5="A",Inputs_Actuals!I249,I96)</f>
        <v>2500</v>
      </c>
      <c r="J164" s="65" t="n">
        <f aca="false">IF(J$5="A",Inputs_Actuals!J249,J96)</f>
        <v>3000</v>
      </c>
      <c r="K164" s="65" t="n">
        <f aca="false">IF(K$5="A",Inputs_Actuals!K249,K96)</f>
        <v>3000</v>
      </c>
      <c r="L164" s="65" t="n">
        <f aca="false">IF(L$5="A",Inputs_Actuals!L249,L96)</f>
        <v>3000</v>
      </c>
      <c r="M164" s="65" t="n">
        <f aca="false">IF(M$5="A",Inputs_Actuals!M249,M96)</f>
        <v>2962.5</v>
      </c>
      <c r="N164" s="65" t="n">
        <f aca="false">IF(N$5="A",Inputs_Actuals!N249,N96)</f>
        <v>3425.46875</v>
      </c>
      <c r="O164" s="65" t="n">
        <f aca="false">IF(O$5="A",Inputs_Actuals!O249,O96)</f>
        <v>3420.150390625</v>
      </c>
      <c r="P164" s="65" t="n">
        <f aca="false">IF(P$5="A",Inputs_Actuals!P249,P96)</f>
        <v>3414.42976074219</v>
      </c>
      <c r="Q164" s="65" t="n">
        <f aca="false">IF(Q$5="A",Inputs_Actuals!Q249,Q96)</f>
        <v>3534.07761929169</v>
      </c>
      <c r="R164" s="65" t="n">
        <f aca="false">IF(R$5="A",Inputs_Actuals!R249,R96)</f>
        <v>3534.14984472925</v>
      </c>
      <c r="S164" s="65" t="n">
        <f aca="false">IF(S$5="A",Inputs_Actuals!S249,S96)</f>
        <v>3534.14715669974</v>
      </c>
      <c r="T164" s="65" t="n">
        <f aca="false">IF(T$5="A",Inputs_Actuals!T249,T96)</f>
        <v>3534.14628748214</v>
      </c>
      <c r="U164" s="65" t="n">
        <f aca="false">IF(U$5="A",Inputs_Actuals!U249,U96)</f>
        <v>4051.64633194773</v>
      </c>
      <c r="V164" s="65" t="n">
        <f aca="false">IF(V$5="A",Inputs_Actuals!V249,V96)</f>
        <v>4045.17759225713</v>
      </c>
      <c r="W164" s="65" t="n">
        <f aca="false">IF(W$5="A",Inputs_Actuals!W249,W96)</f>
        <v>4038.78970094744</v>
      </c>
      <c r="X164" s="65" t="n">
        <f aca="false">IF(X$5="A",Inputs_Actuals!X249,X96)</f>
        <v>4038.95040883494</v>
      </c>
      <c r="Y164" s="65" t="n">
        <f aca="false">IF(Y$5="A",Inputs_Actuals!Y249,Y96)</f>
        <v>4039.02824862772</v>
      </c>
      <c r="Z164" s="65" t="n">
        <f aca="false">IF(Z$5="A",Inputs_Actuals!Z249,Z96)</f>
        <v>4039.02526678172</v>
      </c>
      <c r="AA164" s="65" t="n">
        <f aca="false">IF(AA$5="A",Inputs_Actuals!AA249,AA96)</f>
        <v>4039.02433105738</v>
      </c>
      <c r="AB164" s="65" t="n">
        <f aca="false">IF(AB$5="A",Inputs_Actuals!AB249,AB96)</f>
        <v>4039.02438002701</v>
      </c>
    </row>
    <row r="165" customFormat="false" ht="15" hidden="false" customHeight="false" outlineLevel="0" collapsed="false">
      <c r="A165" s="28" t="s">
        <v>1217</v>
      </c>
      <c r="B165" s="63" t="s">
        <v>1177</v>
      </c>
      <c r="C165" s="64" t="n">
        <f aca="false">SUM(E165:P165)</f>
        <v>34722.5489013672</v>
      </c>
      <c r="D165" s="64" t="n">
        <f aca="false">SUM(Q165:AB165)</f>
        <v>46467.1871686839</v>
      </c>
      <c r="E165" s="65" t="n">
        <f aca="false">IF(E$5="A",Inputs_Actuals!E251,IF(Assumptions!E$211=1,SUM(E164:E164),0))</f>
        <v>0</v>
      </c>
      <c r="F165" s="65" t="n">
        <f aca="false">IF(F$5="A",Inputs_Actuals!F251,IF(Assumptions!F$211=1,SUM(E164:F164),0))</f>
        <v>0</v>
      </c>
      <c r="G165" s="65" t="n">
        <f aca="false">IF(G$5="A",Inputs_Actuals!G251,IF(Assumptions!G$211=1,SUM(E164:G164),0))</f>
        <v>0</v>
      </c>
      <c r="H165" s="65" t="n">
        <f aca="false">IF(H$5="A",Inputs_Actuals!H251,IF(Assumptions!H$211=1,SUM(E164:H164),0))</f>
        <v>0</v>
      </c>
      <c r="I165" s="65" t="n">
        <f aca="false">IF(I$5="A",Inputs_Actuals!I251,IF(Assumptions!I$211=1,SUM(E164:I164),0))</f>
        <v>0</v>
      </c>
      <c r="J165" s="65" t="n">
        <f aca="false">IF(J$5="A",Inputs_Actuals!J251,IF(Assumptions!J$211=1,SUM(E164:J164),0))</f>
        <v>15500</v>
      </c>
      <c r="K165" s="65" t="n">
        <f aca="false">IF(K$5="A",Inputs_Actuals!K251,IF(Assumptions!K$211=1,SUM(F164:K164),0))</f>
        <v>0</v>
      </c>
      <c r="L165" s="65" t="n">
        <f aca="false">IF(L$5="A",Inputs_Actuals!L251,IF(Assumptions!L$211=1,SUM(G164:L164),0))</f>
        <v>0</v>
      </c>
      <c r="M165" s="65" t="n">
        <f aca="false">IF(M$5="A",Inputs_Actuals!M251,IF(Assumptions!M$211=1,SUM(H164:M164),0))</f>
        <v>0</v>
      </c>
      <c r="N165" s="65" t="n">
        <f aca="false">IF(N$5="A",Inputs_Actuals!N251,IF(Assumptions!N$211=1,SUM(I164:N164),0))</f>
        <v>0</v>
      </c>
      <c r="O165" s="65" t="n">
        <f aca="false">IF(O$5="A",Inputs_Actuals!O251,IF(Assumptions!O$211=1,SUM(J164:O164),0))</f>
        <v>0</v>
      </c>
      <c r="P165" s="65" t="n">
        <f aca="false">IF(P$5="A",Inputs_Actuals!P251,IF(Assumptions!P$211=1,SUM(K164:P164),0))</f>
        <v>19222.5489013672</v>
      </c>
      <c r="Q165" s="65" t="n">
        <f aca="false">IF(Q$5="A",Inputs_Actuals!Q251,IF(Assumptions!Q$211=1,SUM(L164:Q164),0))</f>
        <v>0</v>
      </c>
      <c r="R165" s="65" t="n">
        <f aca="false">IF(R$5="A",Inputs_Actuals!R251,IF(Assumptions!R$211=1,SUM(M164:R164),0))</f>
        <v>0</v>
      </c>
      <c r="S165" s="65" t="n">
        <f aca="false">IF(S$5="A",Inputs_Actuals!S251,IF(Assumptions!S$211=1,SUM(N164:S164),0))</f>
        <v>0</v>
      </c>
      <c r="T165" s="65" t="n">
        <f aca="false">IF(T$5="A",Inputs_Actuals!T251,IF(Assumptions!T$211=1,SUM(O164:T164),0))</f>
        <v>0</v>
      </c>
      <c r="U165" s="65" t="n">
        <f aca="false">IF(U$5="A",Inputs_Actuals!U251,IF(Assumptions!U$211=1,SUM(P164:U164),0))</f>
        <v>0</v>
      </c>
      <c r="V165" s="65" t="n">
        <f aca="false">IF(V$5="A",Inputs_Actuals!V251,IF(Assumptions!V$211=1,SUM(Q164:V164),0))</f>
        <v>22233.3448324077</v>
      </c>
      <c r="W165" s="65" t="n">
        <f aca="false">IF(W$5="A",Inputs_Actuals!W251,IF(Assumptions!W$211=1,SUM(R164:W164),0))</f>
        <v>0</v>
      </c>
      <c r="X165" s="65" t="n">
        <f aca="false">IF(X$5="A",Inputs_Actuals!X251,IF(Assumptions!X$211=1,SUM(S164:X164),0))</f>
        <v>0</v>
      </c>
      <c r="Y165" s="65" t="n">
        <f aca="false">IF(Y$5="A",Inputs_Actuals!Y251,IF(Assumptions!Y$211=1,SUM(T164:Y164),0))</f>
        <v>0</v>
      </c>
      <c r="Z165" s="65" t="n">
        <f aca="false">IF(Z$5="A",Inputs_Actuals!Z251,IF(Assumptions!Z$211=1,SUM(U164:Z164),0))</f>
        <v>0</v>
      </c>
      <c r="AA165" s="65" t="n">
        <f aca="false">IF(AA$5="A",Inputs_Actuals!AA251,IF(Assumptions!AA$211=1,SUM(V164:AA164),0))</f>
        <v>0</v>
      </c>
      <c r="AB165" s="65" t="n">
        <f aca="false">IF(AB$5="A",Inputs_Actuals!AB251,IF(Assumptions!AB$211=1,SUM(W164:AB164),0))</f>
        <v>24233.8423362762</v>
      </c>
    </row>
    <row r="166" customFormat="false" ht="15" hidden="false" customHeight="false" outlineLevel="0" collapsed="false">
      <c r="A166" s="28" t="s">
        <v>1218</v>
      </c>
      <c r="B166" s="63"/>
      <c r="C166" s="64" t="n">
        <f aca="false">SUM(E166:P166)</f>
        <v>15790.8697501221</v>
      </c>
      <c r="D166" s="64" t="n">
        <f aca="false">SUM(Q166:AB166)</f>
        <v>21207.6242237873</v>
      </c>
      <c r="E166" s="65" t="n">
        <f aca="false">IF(E$5="A",Inputs_Actuals!E253,E81)</f>
        <v>1138.65</v>
      </c>
      <c r="F166" s="65" t="n">
        <f aca="false">IF(F$5="A",Inputs_Actuals!F253,F81)</f>
        <v>1133.68</v>
      </c>
      <c r="G166" s="65" t="n">
        <f aca="false">IF(G$5="A",Inputs_Actuals!G253,G81)</f>
        <v>1139.32</v>
      </c>
      <c r="H166" s="65" t="n">
        <f aca="false">IF(H$5="A",Inputs_Actuals!H253,H81)</f>
        <v>1133.5</v>
      </c>
      <c r="I166" s="65" t="n">
        <f aca="false">IF(I$5="A",Inputs_Actuals!I253,I81)</f>
        <v>1134.55</v>
      </c>
      <c r="J166" s="65" t="n">
        <f aca="false">IF(J$5="A",Inputs_Actuals!J253,J81)</f>
        <v>1365.18</v>
      </c>
      <c r="K166" s="65" t="n">
        <f aca="false">IF(K$5="A",Inputs_Actuals!K253,K81)</f>
        <v>1363.18</v>
      </c>
      <c r="L166" s="65" t="n">
        <f aca="false">IF(L$5="A",Inputs_Actuals!L253,L81)</f>
        <v>1366.55</v>
      </c>
      <c r="M166" s="65" t="n">
        <f aca="false">IF(M$5="A",Inputs_Actuals!M253,M81)</f>
        <v>1347.9375</v>
      </c>
      <c r="N166" s="65" t="n">
        <f aca="false">IF(N$5="A",Inputs_Actuals!N253,N81)</f>
        <v>1558.58828125</v>
      </c>
      <c r="O166" s="65" t="n">
        <f aca="false">IF(O$5="A",Inputs_Actuals!O253,O81)</f>
        <v>1556.16842773438</v>
      </c>
      <c r="P166" s="65" t="n">
        <f aca="false">IF(P$5="A",Inputs_Actuals!P253,P81)</f>
        <v>1553.5655411377</v>
      </c>
      <c r="Q166" s="65" t="n">
        <f aca="false">IF(Q$5="A",Inputs_Actuals!Q253,Q81)</f>
        <v>1612.95302544473</v>
      </c>
      <c r="R166" s="65" t="n">
        <f aca="false">IF(R$5="A",Inputs_Actuals!R253,R81)</f>
        <v>1612.98598913443</v>
      </c>
      <c r="S166" s="65" t="n">
        <f aca="false">IF(S$5="A",Inputs_Actuals!S253,S81)</f>
        <v>1612.98476231776</v>
      </c>
      <c r="T166" s="65" t="n">
        <f aca="false">IF(T$5="A",Inputs_Actuals!T253,T81)</f>
        <v>1612.98436560685</v>
      </c>
      <c r="U166" s="65" t="n">
        <f aca="false">IF(U$5="A",Inputs_Actuals!U253,U81)</f>
        <v>1849.17138590094</v>
      </c>
      <c r="V166" s="65" t="n">
        <f aca="false">IF(V$5="A",Inputs_Actuals!V253,V81)</f>
        <v>1846.21905310615</v>
      </c>
      <c r="W166" s="65" t="n">
        <f aca="false">IF(W$5="A",Inputs_Actuals!W253,W81)</f>
        <v>1843.30361951241</v>
      </c>
      <c r="X166" s="65" t="n">
        <f aca="false">IF(X$5="A",Inputs_Actuals!X253,X81)</f>
        <v>1843.37696659227</v>
      </c>
      <c r="Y166" s="65" t="n">
        <f aca="false">IF(Y$5="A",Inputs_Actuals!Y253,Y81)</f>
        <v>1843.41249267369</v>
      </c>
      <c r="Z166" s="65" t="n">
        <f aca="false">IF(Z$5="A",Inputs_Actuals!Z253,Z81)</f>
        <v>1843.41113175918</v>
      </c>
      <c r="AA166" s="65" t="n">
        <f aca="false">IF(AA$5="A",Inputs_Actuals!AA253,AA81)</f>
        <v>1843.41070469459</v>
      </c>
      <c r="AB166" s="65" t="n">
        <f aca="false">IF(AB$5="A",Inputs_Actuals!AB253,AB81)</f>
        <v>1843.41072704433</v>
      </c>
    </row>
    <row r="167" customFormat="false" ht="15" hidden="false" customHeight="false" outlineLevel="0" collapsed="false">
      <c r="A167" s="28" t="s">
        <v>1219</v>
      </c>
      <c r="B167" s="63"/>
      <c r="C167" s="64" t="n">
        <f aca="false">SUM(E167:P167)</f>
        <v>41319.833192627</v>
      </c>
      <c r="D167" s="64" t="n">
        <f aca="false">SUM(Q167:AB167)</f>
        <v>55295.9527307338</v>
      </c>
      <c r="E167" s="65" t="n">
        <f aca="false">IF(E$5="A",Inputs_Actuals!E254,E111)</f>
        <v>2550</v>
      </c>
      <c r="F167" s="65" t="n">
        <f aca="false">IF(F$5="A",Inputs_Actuals!F254,F111)</f>
        <v>2550</v>
      </c>
      <c r="G167" s="65" t="n">
        <f aca="false">IF(G$5="A",Inputs_Actuals!G254,G111)</f>
        <v>2550</v>
      </c>
      <c r="H167" s="65" t="n">
        <f aca="false">IF(H$5="A",Inputs_Actuals!H254,H111)</f>
        <v>2550</v>
      </c>
      <c r="I167" s="65" t="n">
        <f aca="false">IF(I$5="A",Inputs_Actuals!I254,I111)</f>
        <v>2550</v>
      </c>
      <c r="J167" s="65" t="n">
        <f aca="false">IF(J$5="A",Inputs_Actuals!J254,J111)</f>
        <v>5695</v>
      </c>
      <c r="K167" s="65" t="n">
        <f aca="false">IF(K$5="A",Inputs_Actuals!K254,K111)</f>
        <v>3060</v>
      </c>
      <c r="L167" s="65" t="n">
        <f aca="false">IF(L$5="A",Inputs_Actuals!L254,L111)</f>
        <v>3060</v>
      </c>
      <c r="M167" s="65" t="n">
        <f aca="false">IF(M$5="A",Inputs_Actuals!M254,M111)</f>
        <v>3021.75</v>
      </c>
      <c r="N167" s="65" t="n">
        <f aca="false">IF(N$5="A",Inputs_Actuals!N254,N111)</f>
        <v>3493.978125</v>
      </c>
      <c r="O167" s="65" t="n">
        <f aca="false">IF(O$5="A",Inputs_Actuals!O254,O111)</f>
        <v>3488.5533984375</v>
      </c>
      <c r="P167" s="65" t="n">
        <f aca="false">IF(P$5="A",Inputs_Actuals!P254,P111)</f>
        <v>6750.55166918945</v>
      </c>
      <c r="Q167" s="65" t="n">
        <f aca="false">IF(Q$5="A",Inputs_Actuals!Q254,Q111)</f>
        <v>3604.75917167752</v>
      </c>
      <c r="R167" s="65" t="n">
        <f aca="false">IF(R$5="A",Inputs_Actuals!R254,R111)</f>
        <v>3604.83284162384</v>
      </c>
      <c r="S167" s="65" t="n">
        <f aca="false">IF(S$5="A",Inputs_Actuals!S254,S111)</f>
        <v>3604.83009983373</v>
      </c>
      <c r="T167" s="65" t="n">
        <f aca="false">IF(T$5="A",Inputs_Actuals!T254,T111)</f>
        <v>3604.82921323178</v>
      </c>
      <c r="U167" s="65" t="n">
        <f aca="false">IF(U$5="A",Inputs_Actuals!U254,U111)</f>
        <v>4132.67925858668</v>
      </c>
      <c r="V167" s="65" t="n">
        <f aca="false">IF(V$5="A",Inputs_Actuals!V254,V111)</f>
        <v>7905.74976561157</v>
      </c>
      <c r="W167" s="65" t="n">
        <f aca="false">IF(W$5="A",Inputs_Actuals!W254,W111)</f>
        <v>4119.56549496639</v>
      </c>
      <c r="X167" s="65" t="n">
        <f aca="false">IF(X$5="A",Inputs_Actuals!X254,X111)</f>
        <v>4119.72941701164</v>
      </c>
      <c r="Y167" s="65" t="n">
        <f aca="false">IF(Y$5="A",Inputs_Actuals!Y254,Y111)</f>
        <v>4119.80881360027</v>
      </c>
      <c r="Z167" s="65" t="n">
        <f aca="false">IF(Z$5="A",Inputs_Actuals!Z254,Z111)</f>
        <v>4119.80577211735</v>
      </c>
      <c r="AA167" s="65" t="n">
        <f aca="false">IF(AA$5="A",Inputs_Actuals!AA254,AA111)</f>
        <v>4119.80481767853</v>
      </c>
      <c r="AB167" s="65" t="n">
        <f aca="false">IF(AB$5="A",Inputs_Actuals!AB254,AB111)</f>
        <v>8239.55806479451</v>
      </c>
    </row>
    <row r="168" customFormat="false" ht="15" hidden="false" customHeight="false" outlineLevel="0" collapsed="false">
      <c r="A168" s="28" t="s">
        <v>1220</v>
      </c>
      <c r="B168" s="63"/>
      <c r="C168" s="64" t="n">
        <f aca="false">SUM(E168:P168)</f>
        <v>186007.519366821</v>
      </c>
      <c r="D168" s="64" t="n">
        <f aca="false">SUM(Q168:AB168)</f>
        <v>248766.733226266</v>
      </c>
      <c r="E168" s="74" t="n">
        <f aca="false">E163+E165-E167-E166</f>
        <v>11308.82</v>
      </c>
      <c r="F168" s="74" t="n">
        <f aca="false">F163+F165-F167-F166</f>
        <v>11325.03</v>
      </c>
      <c r="G168" s="74" t="n">
        <f aca="false">G163+G165-G167-G166</f>
        <v>11318.48</v>
      </c>
      <c r="H168" s="74" t="n">
        <f aca="false">H163+H165-H167-H166</f>
        <v>11342.86</v>
      </c>
      <c r="I168" s="74" t="n">
        <f aca="false">I163+I165-I167-I166</f>
        <v>11316.77</v>
      </c>
      <c r="J168" s="74" t="n">
        <f aca="false">J163+J165-J167-J166</f>
        <v>26411.76</v>
      </c>
      <c r="K168" s="74" t="n">
        <f aca="false">K163+K165-K167-K166</f>
        <v>13555.88</v>
      </c>
      <c r="L168" s="74" t="n">
        <f aca="false">L163+L165-L167-L166</f>
        <v>13641.17</v>
      </c>
      <c r="M168" s="74" t="n">
        <f aca="false">M163+M165-M167-M166</f>
        <v>13405.3125</v>
      </c>
      <c r="N168" s="74" t="n">
        <f aca="false">N163+N165-N167-N166</f>
        <v>15500.24609375</v>
      </c>
      <c r="O168" s="74" t="n">
        <f aca="false">O163+O165-O167-O166</f>
        <v>15476.1805175781</v>
      </c>
      <c r="P168" s="74" t="n">
        <f aca="false">P163+P165-P167-P166</f>
        <v>31405.0102554932</v>
      </c>
      <c r="Q168" s="74" t="n">
        <f aca="false">Q163+Q165-Q167-Q166</f>
        <v>15986.7535186279</v>
      </c>
      <c r="R168" s="74" t="n">
        <f aca="false">R163+R165-R167-R166</f>
        <v>15987.0802376172</v>
      </c>
      <c r="S168" s="74" t="n">
        <f aca="false">S163+S165-S167-S166</f>
        <v>15987.0680780469</v>
      </c>
      <c r="T168" s="74" t="n">
        <f aca="false">T163+T165-T167-T166</f>
        <v>15987.0641460542</v>
      </c>
      <c r="U168" s="74" t="n">
        <f aca="false">U163+U165-U167-U166</f>
        <v>18328.0273471987</v>
      </c>
      <c r="V168" s="74" t="n">
        <f aca="false">V163+V165-V167-V166</f>
        <v>36752.4415672327</v>
      </c>
      <c r="W168" s="74" t="n">
        <f aca="false">W163+W165-W167-W166</f>
        <v>18269.8690912058</v>
      </c>
      <c r="X168" s="74" t="n">
        <f aca="false">X163+X165-X167-X166</f>
        <v>18270.5960694057</v>
      </c>
      <c r="Y168" s="74" t="n">
        <f aca="false">Y163+Y165-Y167-Y166</f>
        <v>18270.9481854924</v>
      </c>
      <c r="Z168" s="74" t="n">
        <f aca="false">Z163+Z165-Z167-Z166</f>
        <v>18270.9346968138</v>
      </c>
      <c r="AA168" s="74" t="n">
        <f aca="false">AA163+AA165-AA167-AA166</f>
        <v>18270.9304639712</v>
      </c>
      <c r="AB168" s="74" t="n">
        <f aca="false">AB163+AB165-AB167-AB166</f>
        <v>38385.0198245994</v>
      </c>
    </row>
    <row r="169" customFormat="false" ht="15" hidden="false" customHeight="false" outlineLevel="0" collapsed="false">
      <c r="A169" s="28" t="s">
        <v>1221</v>
      </c>
      <c r="B169" s="63"/>
      <c r="C169" s="68" t="n">
        <f aca="false">P169</f>
        <v>15.3796686243128</v>
      </c>
      <c r="D169" s="68" t="n">
        <f aca="false">AB169</f>
        <v>18.2399998698854</v>
      </c>
      <c r="E169" s="80" t="n">
        <f aca="false">E18+E19+E20</f>
        <v>14</v>
      </c>
      <c r="F169" s="80" t="n">
        <f aca="false">F18+F19+F20</f>
        <v>14</v>
      </c>
      <c r="G169" s="80" t="n">
        <f aca="false">G18+G19+G20</f>
        <v>15</v>
      </c>
      <c r="H169" s="80" t="n">
        <f aca="false">H18+H19+H20</f>
        <v>16</v>
      </c>
      <c r="I169" s="80" t="n">
        <f aca="false">I18+I19+I20</f>
        <v>16</v>
      </c>
      <c r="J169" s="80" t="n">
        <f aca="false">J18+J19+J20</f>
        <v>16</v>
      </c>
      <c r="K169" s="80" t="n">
        <f aca="false">K18+K19+K20</f>
        <v>16</v>
      </c>
      <c r="L169" s="80" t="n">
        <f aca="false">L18+L19+L20</f>
        <v>15</v>
      </c>
      <c r="M169" s="80" t="n">
        <f aca="false">M18+M19+M20</f>
        <v>14.6875</v>
      </c>
      <c r="N169" s="80" t="n">
        <f aca="false">N18+N19+N20</f>
        <v>14.3815104166667</v>
      </c>
      <c r="O169" s="80" t="n">
        <f aca="false">O18+O19+O20</f>
        <v>15.3943956163194</v>
      </c>
      <c r="P169" s="80" t="n">
        <f aca="false">P18+P19+P20</f>
        <v>15.3796686243128</v>
      </c>
      <c r="Q169" s="80" t="n">
        <f aca="false">Q18+Q19+Q20</f>
        <v>17.3588736616535</v>
      </c>
      <c r="R169" s="80" t="n">
        <f aca="false">R18+R19+R20</f>
        <v>17.317947035709</v>
      </c>
      <c r="S169" s="80" t="n">
        <f aca="false">S18+S19+S20</f>
        <v>17.2775662354716</v>
      </c>
      <c r="T169" s="80" t="n">
        <f aca="false">T18+T19+T20</f>
        <v>17.2792601401837</v>
      </c>
      <c r="U169" s="80" t="n">
        <f aca="false">U18+U19+U20</f>
        <v>18.2800661171738</v>
      </c>
      <c r="V169" s="80" t="n">
        <f aca="false">V18+V19+V20</f>
        <v>18.2591807029717</v>
      </c>
      <c r="W169" s="80" t="n">
        <f aca="false">W18+W19+W20</f>
        <v>18.238765691247</v>
      </c>
      <c r="X169" s="80" t="n">
        <f aca="false">X18+X19+X20</f>
        <v>18.2396261167871</v>
      </c>
      <c r="Y169" s="80" t="n">
        <f aca="false">Y18+Y19+Y20</f>
        <v>18.2400335039993</v>
      </c>
      <c r="Z169" s="80" t="n">
        <f aca="false">Z18+Z19+Z20</f>
        <v>18.2400070912336</v>
      </c>
      <c r="AA169" s="80" t="n">
        <f aca="false">AA18+AA19+AA20</f>
        <v>18.239999154266</v>
      </c>
      <c r="AB169" s="80" t="n">
        <f aca="false">AB18+AB19+AB20</f>
        <v>18.2399998698854</v>
      </c>
    </row>
    <row r="170" customFormat="false" ht="15" hidden="false" customHeight="false" outlineLevel="0" collapsed="false">
      <c r="A170" s="28" t="s">
        <v>1222</v>
      </c>
      <c r="B170" s="63"/>
      <c r="C170" s="64" t="n">
        <f aca="false">SUM(E170:P170)</f>
        <v>630276.671412178</v>
      </c>
      <c r="D170" s="64" t="n">
        <f aca="false">SUM(Q170:AB170)</f>
        <v>769295.671334946</v>
      </c>
      <c r="E170" s="65" t="n">
        <f aca="false">IF(E$5="A",Inputs_Actuals!E255,E52+E53+E54)</f>
        <v>49201.63</v>
      </c>
      <c r="F170" s="65" t="n">
        <f aca="false">IF(F$5="A",Inputs_Actuals!F255,F52+F53+F54)</f>
        <v>49295.17</v>
      </c>
      <c r="G170" s="65" t="n">
        <f aca="false">IF(G$5="A",Inputs_Actuals!G255,G52+G53+G54)</f>
        <v>51569.06</v>
      </c>
      <c r="H170" s="65" t="n">
        <f aca="false">IF(H$5="A",Inputs_Actuals!H255,H52+H53+H54)</f>
        <v>55616.81</v>
      </c>
      <c r="I170" s="65" t="n">
        <f aca="false">IF(I$5="A",Inputs_Actuals!I255,I52+I53+I54)</f>
        <v>55400.6</v>
      </c>
      <c r="J170" s="65" t="n">
        <f aca="false">IF(J$5="A",Inputs_Actuals!J255,J52+J53+J54)</f>
        <v>55459.61</v>
      </c>
      <c r="K170" s="65" t="n">
        <f aca="false">IF(K$5="A",Inputs_Actuals!K255,K52+K53+K54)</f>
        <v>55316.66</v>
      </c>
      <c r="L170" s="65" t="n">
        <f aca="false">IF(L$5="A",Inputs_Actuals!L255,L52+L53+L54)</f>
        <v>51686.24</v>
      </c>
      <c r="M170" s="65" t="n">
        <f aca="false">IF(M$5="A",Inputs_Actuals!M255,M52+M53+M54)</f>
        <v>50590.2777777778</v>
      </c>
      <c r="N170" s="65" t="n">
        <f aca="false">IF(N$5="A",Inputs_Actuals!N255,N52+N53+N54)</f>
        <v>49536.3136574074</v>
      </c>
      <c r="O170" s="65" t="n">
        <f aca="false">IF(O$5="A",Inputs_Actuals!O255,O52+O53+O54)</f>
        <v>53330.696011767</v>
      </c>
      <c r="P170" s="65" t="n">
        <f aca="false">IF(P$5="A",Inputs_Actuals!P255,P52+P53+P54)</f>
        <v>53273.6039652255</v>
      </c>
      <c r="Q170" s="65" t="n">
        <f aca="false">IF(Q$5="A",Inputs_Actuals!Q255,Q52+Q53+Q54)</f>
        <v>62820.0947817461</v>
      </c>
      <c r="R170" s="65" t="n">
        <f aca="false">IF(R$5="A",Inputs_Actuals!R255,R52+R53+R54)</f>
        <v>62661.2859398801</v>
      </c>
      <c r="S170" s="65" t="n">
        <f aca="false">IF(S$5="A",Inputs_Actuals!S255,S52+S53+S54)</f>
        <v>62504.5545682995</v>
      </c>
      <c r="T170" s="65" t="n">
        <f aca="false">IF(T$5="A",Inputs_Actuals!T255,T52+T53+T54)</f>
        <v>62511.1283227463</v>
      </c>
      <c r="U170" s="65" t="n">
        <f aca="false">IF(U$5="A",Inputs_Actuals!U255,U52+U53+U54)</f>
        <v>64929.2566064365</v>
      </c>
      <c r="V170" s="65" t="n">
        <f aca="false">IF(V$5="A",Inputs_Actuals!V255,V52+V53+V54)</f>
        <v>64878.741980642</v>
      </c>
      <c r="W170" s="65" t="n">
        <f aca="false">IF(W$5="A",Inputs_Actuals!W255,W52+W53+W54)</f>
        <v>64829.4166961025</v>
      </c>
      <c r="X170" s="65" t="n">
        <f aca="false">IF(X$5="A",Inputs_Actuals!X255,X52+X53+X54)</f>
        <v>64831.4966942345</v>
      </c>
      <c r="Y170" s="65" t="n">
        <f aca="false">IF(Y$5="A",Inputs_Actuals!Y255,Y52+Y53+Y54)</f>
        <v>64832.4809710346</v>
      </c>
      <c r="Z170" s="65" t="n">
        <f aca="false">IF(Z$5="A",Inputs_Actuals!Z255,Z52+Z53+Z54)</f>
        <v>64832.4171319736</v>
      </c>
      <c r="AA170" s="65" t="n">
        <f aca="false">IF(AA$5="A",Inputs_Actuals!AA255,AA52+AA53+AA54)</f>
        <v>64832.3979561873</v>
      </c>
      <c r="AB170" s="65" t="n">
        <f aca="false">IF(AB$5="A",Inputs_Actuals!AB255,AB52+AB53+AB54)</f>
        <v>64832.3996856633</v>
      </c>
    </row>
    <row r="171" customFormat="false" ht="15" hidden="false" customHeight="false" outlineLevel="0" collapsed="false">
      <c r="A171" s="28" t="s">
        <v>1223</v>
      </c>
      <c r="B171" s="63"/>
      <c r="C171" s="64" t="n">
        <f aca="false">SUM(E171:P171)</f>
        <v>193194.350540447</v>
      </c>
      <c r="D171" s="64" t="n">
        <f aca="false">SUM(Q171:AB171)</f>
        <v>238498.165841714</v>
      </c>
      <c r="E171" s="65" t="n">
        <f aca="false">IF(E$5="A",Inputs_Actuals!E259,E67+E68+E69)</f>
        <v>15033.26</v>
      </c>
      <c r="F171" s="65" t="n">
        <f aca="false">IF(F$5="A",Inputs_Actuals!F259,F67+F68+F69)</f>
        <v>15062</v>
      </c>
      <c r="G171" s="65" t="n">
        <f aca="false">IF(G$5="A",Inputs_Actuals!G259,G67+G68+G69)</f>
        <v>15819.39</v>
      </c>
      <c r="H171" s="65" t="n">
        <f aca="false">IF(H$5="A",Inputs_Actuals!H259,H67+H68+H69)</f>
        <v>17037.08</v>
      </c>
      <c r="I171" s="65" t="n">
        <f aca="false">IF(I$5="A",Inputs_Actuals!I259,I67+I68+I69)</f>
        <v>17049.69</v>
      </c>
      <c r="J171" s="65" t="n">
        <f aca="false">IF(J$5="A",Inputs_Actuals!J259,J67+J68+J69)</f>
        <v>17012.78</v>
      </c>
      <c r="K171" s="65" t="n">
        <f aca="false">IF(K$5="A",Inputs_Actuals!K259,K67+K68+K69)</f>
        <v>17013.8</v>
      </c>
      <c r="L171" s="65" t="n">
        <f aca="false">IF(L$5="A",Inputs_Actuals!L259,L67+L68+L69)</f>
        <v>15782.65</v>
      </c>
      <c r="M171" s="65" t="n">
        <f aca="false">IF(M$5="A",Inputs_Actuals!M259,M67+M68+M69)</f>
        <v>15482.9116648889</v>
      </c>
      <c r="N171" s="65" t="n">
        <f aca="false">IF(N$5="A",Inputs_Actuals!N259,N67+N68+N69)</f>
        <v>15160.3510052037</v>
      </c>
      <c r="O171" s="65" t="n">
        <f aca="false">IF(O$5="A",Inputs_Actuals!O259,O67+O68+O69)</f>
        <v>16379.5590117064</v>
      </c>
      <c r="P171" s="65" t="n">
        <f aca="false">IF(P$5="A",Inputs_Actuals!P259,P67+P68+P69)</f>
        <v>16360.8788586477</v>
      </c>
      <c r="Q171" s="65" t="n">
        <f aca="false">IF(Q$5="A",Inputs_Actuals!Q259,Q67+Q68+Q69)</f>
        <v>19459.7587374148</v>
      </c>
      <c r="R171" s="65" t="n">
        <f aca="false">IF(R$5="A",Inputs_Actuals!R259,R67+R68+R69)</f>
        <v>19408.5811511196</v>
      </c>
      <c r="S171" s="65" t="n">
        <f aca="false">IF(S$5="A",Inputs_Actuals!S259,S67+S68+S69)</f>
        <v>19358.0660439889</v>
      </c>
      <c r="T171" s="65" t="n">
        <f aca="false">IF(T$5="A",Inputs_Actuals!T259,T67+T68+T69)</f>
        <v>19360.1846417686</v>
      </c>
      <c r="U171" s="65" t="n">
        <f aca="false">IF(U$5="A",Inputs_Actuals!U259,U67+U68+U69)</f>
        <v>20139.5474023801</v>
      </c>
      <c r="V171" s="65" t="n">
        <f aca="false">IF(V$5="A",Inputs_Actuals!V259,V67+V68+V69)</f>
        <v>20123.2665407469</v>
      </c>
      <c r="W171" s="65" t="n">
        <f aca="false">IF(W$5="A",Inputs_Actuals!W259,W67+W68+W69)</f>
        <v>20107.3690011849</v>
      </c>
      <c r="X171" s="65" t="n">
        <f aca="false">IF(X$5="A",Inputs_Actuals!X259,X67+X68+X69)</f>
        <v>20108.0393845431</v>
      </c>
      <c r="Y171" s="65" t="n">
        <f aca="false">IF(Y$5="A",Inputs_Actuals!Y259,Y67+Y68+Y69)</f>
        <v>20108.356616964</v>
      </c>
      <c r="Z171" s="65" t="n">
        <f aca="false">IF(Z$5="A",Inputs_Actuals!Z259,Z67+Z68+Z69)</f>
        <v>20108.3360416353</v>
      </c>
      <c r="AA171" s="65" t="n">
        <f aca="false">IF(AA$5="A",Inputs_Actuals!AA259,AA67+AA68+AA69)</f>
        <v>20108.3298612792</v>
      </c>
      <c r="AB171" s="65" t="n">
        <f aca="false">IF(AB$5="A",Inputs_Actuals!AB259,AB67+AB68+AB69)</f>
        <v>20108.3304186893</v>
      </c>
    </row>
    <row r="172" customFormat="false" ht="15" hidden="false" customHeight="false" outlineLevel="0" collapsed="false">
      <c r="A172" s="59" t="s">
        <v>1224</v>
      </c>
      <c r="B172" s="60" t="s">
        <v>1173</v>
      </c>
      <c r="C172" s="61" t="n">
        <f aca="false">SUM(E172:P172)</f>
        <v>823471.021952624</v>
      </c>
      <c r="D172" s="61" t="n">
        <f aca="false">SUM(Q172:AB172)</f>
        <v>1007793.83717666</v>
      </c>
      <c r="E172" s="61" t="n">
        <f aca="false">E170+E171</f>
        <v>64234.89</v>
      </c>
      <c r="F172" s="61" t="n">
        <f aca="false">F170+F171</f>
        <v>64357.17</v>
      </c>
      <c r="G172" s="61" t="n">
        <f aca="false">G170+G171</f>
        <v>67388.45</v>
      </c>
      <c r="H172" s="61" t="n">
        <f aca="false">H170+H171</f>
        <v>72653.89</v>
      </c>
      <c r="I172" s="61" t="n">
        <f aca="false">I170+I171</f>
        <v>72450.29</v>
      </c>
      <c r="J172" s="61" t="n">
        <f aca="false">J170+J171</f>
        <v>72472.39</v>
      </c>
      <c r="K172" s="61" t="n">
        <f aca="false">K170+K171</f>
        <v>72330.46</v>
      </c>
      <c r="L172" s="61" t="n">
        <f aca="false">L170+L171</f>
        <v>67468.89</v>
      </c>
      <c r="M172" s="61" t="n">
        <f aca="false">M170+M171</f>
        <v>66073.1894426667</v>
      </c>
      <c r="N172" s="61" t="n">
        <f aca="false">N170+N171</f>
        <v>64696.6646626111</v>
      </c>
      <c r="O172" s="61" t="n">
        <f aca="false">O170+O171</f>
        <v>69710.2550234734</v>
      </c>
      <c r="P172" s="61" t="n">
        <f aca="false">P170+P171</f>
        <v>69634.4828238732</v>
      </c>
      <c r="Q172" s="61" t="n">
        <f aca="false">Q170+Q171</f>
        <v>82279.8535191609</v>
      </c>
      <c r="R172" s="61" t="n">
        <f aca="false">R170+R171</f>
        <v>82069.8670909997</v>
      </c>
      <c r="S172" s="61" t="n">
        <f aca="false">S170+S171</f>
        <v>81862.6206122883</v>
      </c>
      <c r="T172" s="61" t="n">
        <f aca="false">T170+T171</f>
        <v>81871.3129645148</v>
      </c>
      <c r="U172" s="61" t="n">
        <f aca="false">U170+U171</f>
        <v>85068.8040088166</v>
      </c>
      <c r="V172" s="61" t="n">
        <f aca="false">V170+V171</f>
        <v>85002.0085213889</v>
      </c>
      <c r="W172" s="61" t="n">
        <f aca="false">W170+W171</f>
        <v>84936.7856972874</v>
      </c>
      <c r="X172" s="61" t="n">
        <f aca="false">X170+X171</f>
        <v>84939.5360787776</v>
      </c>
      <c r="Y172" s="61" t="n">
        <f aca="false">Y170+Y171</f>
        <v>84940.8375879986</v>
      </c>
      <c r="Z172" s="61" t="n">
        <f aca="false">Z170+Z171</f>
        <v>84940.7531736088</v>
      </c>
      <c r="AA172" s="61" t="n">
        <f aca="false">AA170+AA171</f>
        <v>84940.7278174665</v>
      </c>
      <c r="AB172" s="61" t="n">
        <f aca="false">AB170+AB171</f>
        <v>84940.7301043526</v>
      </c>
    </row>
    <row r="173" customFormat="false" ht="15" hidden="false" customHeight="false" outlineLevel="0" collapsed="false">
      <c r="A173" s="28" t="s">
        <v>1225</v>
      </c>
      <c r="B173" s="63"/>
      <c r="C173" s="64" t="n">
        <f aca="false">SUM(E173:P173)</f>
        <v>540219.866924724</v>
      </c>
      <c r="D173" s="64" t="n">
        <f aca="false">SUM(Q173:AB173)</f>
        <v>659396.289715668</v>
      </c>
      <c r="E173" s="65" t="n">
        <f aca="false">IF(E$5="A",Inputs_Actuals!E257,E18*Assumptions!$D$85*IF(Assumptions!E$191=2027,1+Assumptions!$F$175,1)/14+E19*Assumptions!$D$86*IF(Assumptions!E$191=2027,1+Assumptions!$F$175,1)/14+E20*Assumptions!$D$87*IF(Assumptions!E$191=2027,1+Assumptions!$F$175,1)/14)</f>
        <v>42154.01</v>
      </c>
      <c r="F173" s="65" t="n">
        <f aca="false">IF(F$5="A",Inputs_Actuals!F257,F18*Assumptions!$D$85*IF(Assumptions!F$191=2027,1+Assumptions!$F$175,1)/14+F19*Assumptions!$D$86*IF(Assumptions!F$191=2027,1+Assumptions!$F$175,1)/14+F20*Assumptions!$D$87*IF(Assumptions!F$191=2027,1+Assumptions!$F$175,1)/14)</f>
        <v>42247.55</v>
      </c>
      <c r="G173" s="65" t="n">
        <f aca="false">IF(G$5="A",Inputs_Actuals!G257,G18*Assumptions!$D$85*IF(Assumptions!G$191=2027,1+Assumptions!$F$175,1)/14+G19*Assumptions!$D$86*IF(Assumptions!G$191=2027,1+Assumptions!$F$175,1)/14+G20*Assumptions!$D$87*IF(Assumptions!G$191=2027,1+Assumptions!$F$175,1)/14)</f>
        <v>44188.11</v>
      </c>
      <c r="H173" s="65" t="n">
        <f aca="false">IF(H$5="A",Inputs_Actuals!H257,H18*Assumptions!$D$85*IF(Assumptions!H$191=2027,1+Assumptions!$F$175,1)/14+H19*Assumptions!$D$86*IF(Assumptions!H$191=2027,1+Assumptions!$F$175,1)/14+H20*Assumptions!$D$87*IF(Assumptions!H$191=2027,1+Assumptions!$F$175,1)/14)</f>
        <v>47700.14</v>
      </c>
      <c r="I173" s="65" t="n">
        <f aca="false">IF(I$5="A",Inputs_Actuals!I257,I18*Assumptions!$D$85*IF(Assumptions!I$191=2027,1+Assumptions!$F$175,1)/14+I19*Assumptions!$D$86*IF(Assumptions!I$191=2027,1+Assumptions!$F$175,1)/14+I20*Assumptions!$D$87*IF(Assumptions!I$191=2027,1+Assumptions!$F$175,1)/14)</f>
        <v>47483.93</v>
      </c>
      <c r="J173" s="65" t="n">
        <f aca="false">IF(J$5="A",Inputs_Actuals!J257,J18*Assumptions!$D$85*IF(Assumptions!J$191=2027,1+Assumptions!$F$175,1)/14+J19*Assumptions!$D$86*IF(Assumptions!J$191=2027,1+Assumptions!$F$175,1)/14+J20*Assumptions!$D$87*IF(Assumptions!J$191=2027,1+Assumptions!$F$175,1)/14)</f>
        <v>47542.94</v>
      </c>
      <c r="K173" s="65" t="n">
        <f aca="false">IF(K$5="A",Inputs_Actuals!K257,K18*Assumptions!$D$85*IF(Assumptions!K$191=2027,1+Assumptions!$F$175,1)/14+K19*Assumptions!$D$86*IF(Assumptions!K$191=2027,1+Assumptions!$F$175,1)/14+K20*Assumptions!$D$87*IF(Assumptions!K$191=2027,1+Assumptions!$F$175,1)/14)</f>
        <v>47399.99</v>
      </c>
      <c r="L173" s="65" t="n">
        <f aca="false">IF(L$5="A",Inputs_Actuals!L257,L18*Assumptions!$D$85*IF(Assumptions!L$191=2027,1+Assumptions!$F$175,1)/14+L19*Assumptions!$D$86*IF(Assumptions!L$191=2027,1+Assumptions!$F$175,1)/14+L20*Assumptions!$D$87*IF(Assumptions!L$191=2027,1+Assumptions!$F$175,1)/14)</f>
        <v>44305.29</v>
      </c>
      <c r="M173" s="65" t="n">
        <f aca="false">IF(M$5="A",Inputs_Actuals!M257,M18*Assumptions!$D$85*IF(Assumptions!M$191=2027,1+Assumptions!$F$175,1)/14+M19*Assumptions!$D$86*IF(Assumptions!M$191=2027,1+Assumptions!$F$175,1)/14+M20*Assumptions!$D$87*IF(Assumptions!M$191=2027,1+Assumptions!$F$175,1)/14)</f>
        <v>43363.0952380952</v>
      </c>
      <c r="N173" s="65" t="n">
        <f aca="false">IF(N$5="A",Inputs_Actuals!N257,N18*Assumptions!$D$85*IF(Assumptions!N$191=2027,1+Assumptions!$F$175,1)/14+N19*Assumptions!$D$86*IF(Assumptions!N$191=2027,1+Assumptions!$F$175,1)/14+N20*Assumptions!$D$87*IF(Assumptions!N$191=2027,1+Assumptions!$F$175,1)/14)</f>
        <v>42459.6974206349</v>
      </c>
      <c r="O173" s="65" t="n">
        <f aca="false">IF(O$5="A",Inputs_Actuals!O257,O18*Assumptions!$D$85*IF(Assumptions!O$191=2027,1+Assumptions!$F$175,1)/14+O19*Assumptions!$D$86*IF(Assumptions!O$191=2027,1+Assumptions!$F$175,1)/14+O20*Assumptions!$D$87*IF(Assumptions!O$191=2027,1+Assumptions!$F$175,1)/14)</f>
        <v>45712.0251529431</v>
      </c>
      <c r="P173" s="65" t="n">
        <f aca="false">IF(P$5="A",Inputs_Actuals!P257,P18*Assumptions!$D$85*IF(Assumptions!P$191=2027,1+Assumptions!$F$175,1)/14+P19*Assumptions!$D$86*IF(Assumptions!P$191=2027,1+Assumptions!$F$175,1)/14+P20*Assumptions!$D$87*IF(Assumptions!P$191=2027,1+Assumptions!$F$175,1)/14)</f>
        <v>45663.0891130505</v>
      </c>
      <c r="Q173" s="65" t="n">
        <f aca="false">IF(Q$5="A",Inputs_Actuals!Q257,Q18*Assumptions!$D$85*IF(Assumptions!Q$191=2027,1+Assumptions!$F$175,1)/14+Q19*Assumptions!$D$86*IF(Assumptions!Q$191=2027,1+Assumptions!$F$175,1)/14+Q20*Assumptions!$D$87*IF(Assumptions!Q$191=2027,1+Assumptions!$F$175,1)/14)</f>
        <v>53845.7955272109</v>
      </c>
      <c r="R173" s="65" t="n">
        <f aca="false">IF(R$5="A",Inputs_Actuals!R257,R18*Assumptions!$D$85*IF(Assumptions!R$191=2027,1+Assumptions!$F$175,1)/14+R19*Assumptions!$D$86*IF(Assumptions!R$191=2027,1+Assumptions!$F$175,1)/14+R20*Assumptions!$D$87*IF(Assumptions!R$191=2027,1+Assumptions!$F$175,1)/14)</f>
        <v>53709.6736627544</v>
      </c>
      <c r="S173" s="65" t="n">
        <f aca="false">IF(S$5="A",Inputs_Actuals!S257,S18*Assumptions!$D$85*IF(Assumptions!S$191=2027,1+Assumptions!$F$175,1)/14+S19*Assumptions!$D$86*IF(Assumptions!S$191=2027,1+Assumptions!$F$175,1)/14+S20*Assumptions!$D$87*IF(Assumptions!S$191=2027,1+Assumptions!$F$175,1)/14)</f>
        <v>53575.3324871138</v>
      </c>
      <c r="T173" s="65" t="n">
        <f aca="false">IF(T$5="A",Inputs_Actuals!T257,T18*Assumptions!$D$85*IF(Assumptions!T$191=2027,1+Assumptions!$F$175,1)/14+T19*Assumptions!$D$86*IF(Assumptions!T$191=2027,1+Assumptions!$F$175,1)/14+T20*Assumptions!$D$87*IF(Assumptions!T$191=2027,1+Assumptions!$F$175,1)/14)</f>
        <v>53580.9671337825</v>
      </c>
      <c r="U173" s="65" t="n">
        <f aca="false">IF(U$5="A",Inputs_Actuals!U257,U18*Assumptions!$D$85*IF(Assumptions!U$191=2027,1+Assumptions!$F$175,1)/14+U19*Assumptions!$D$86*IF(Assumptions!U$191=2027,1+Assumptions!$F$175,1)/14+U20*Assumptions!$D$87*IF(Assumptions!U$191=2027,1+Assumptions!$F$175,1)/14)</f>
        <v>55653.6485198027</v>
      </c>
      <c r="V173" s="65" t="n">
        <f aca="false">IF(V$5="A",Inputs_Actuals!V257,V18*Assumptions!$D$85*IF(Assumptions!V$191=2027,1+Assumptions!$F$175,1)/14+V19*Assumptions!$D$86*IF(Assumptions!V$191=2027,1+Assumptions!$F$175,1)/14+V20*Assumptions!$D$87*IF(Assumptions!V$191=2027,1+Assumptions!$F$175,1)/14)</f>
        <v>55610.3502691217</v>
      </c>
      <c r="W173" s="65" t="n">
        <f aca="false">IF(W$5="A",Inputs_Actuals!W257,W18*Assumptions!$D$85*IF(Assumptions!W$191=2027,1+Assumptions!$F$175,1)/14+W19*Assumptions!$D$86*IF(Assumptions!W$191=2027,1+Assumptions!$F$175,1)/14+W20*Assumptions!$D$87*IF(Assumptions!W$191=2027,1+Assumptions!$F$175,1)/14)</f>
        <v>55568.0714538022</v>
      </c>
      <c r="X173" s="65" t="n">
        <f aca="false">IF(X$5="A",Inputs_Actuals!X257,X18*Assumptions!$D$85*IF(Assumptions!X$191=2027,1+Assumptions!$F$175,1)/14+X19*Assumptions!$D$86*IF(Assumptions!X$191=2027,1+Assumptions!$F$175,1)/14+X20*Assumptions!$D$87*IF(Assumptions!X$191=2027,1+Assumptions!$F$175,1)/14)</f>
        <v>55569.8543093438</v>
      </c>
      <c r="Y173" s="65" t="n">
        <f aca="false">IF(Y$5="A",Inputs_Actuals!Y257,Y18*Assumptions!$D$85*IF(Assumptions!Y$191=2027,1+Assumptions!$F$175,1)/14+Y19*Assumptions!$D$86*IF(Assumptions!Y$191=2027,1+Assumptions!$F$175,1)/14+Y20*Assumptions!$D$87*IF(Assumptions!Y$191=2027,1+Assumptions!$F$175,1)/14)</f>
        <v>55570.6979751725</v>
      </c>
      <c r="Z173" s="65" t="n">
        <f aca="false">IF(Z$5="A",Inputs_Actuals!Z257,Z18*Assumptions!$D$85*IF(Assumptions!Z$191=2027,1+Assumptions!$F$175,1)/14+Z19*Assumptions!$D$86*IF(Assumptions!Z$191=2027,1+Assumptions!$F$175,1)/14+Z20*Assumptions!$D$87*IF(Assumptions!Z$191=2027,1+Assumptions!$F$175,1)/14)</f>
        <v>55570.6432559773</v>
      </c>
      <c r="AA173" s="65" t="n">
        <f aca="false">IF(AA$5="A",Inputs_Actuals!AA257,AA18*Assumptions!$D$85*IF(Assumptions!AA$191=2027,1+Assumptions!$F$175,1)/14+AA19*Assumptions!$D$86*IF(Assumptions!AA$191=2027,1+Assumptions!$F$175,1)/14+AA20*Assumptions!$D$87*IF(Assumptions!AA$191=2027,1+Assumptions!$F$175,1)/14)</f>
        <v>55570.6268195891</v>
      </c>
      <c r="AB173" s="65" t="n">
        <f aca="false">IF(AB$5="A",Inputs_Actuals!AB257,AB18*Assumptions!$D$85*IF(Assumptions!AB$191=2027,1+Assumptions!$F$175,1)/14+AB19*Assumptions!$D$86*IF(Assumptions!AB$191=2027,1+Assumptions!$F$175,1)/14+AB20*Assumptions!$D$87*IF(Assumptions!AB$191=2027,1+Assumptions!$F$175,1)/14)</f>
        <v>55570.6283019971</v>
      </c>
    </row>
    <row r="174" customFormat="false" ht="15" hidden="false" customHeight="false" outlineLevel="0" collapsed="false">
      <c r="A174" s="28" t="s">
        <v>1226</v>
      </c>
      <c r="B174" s="63"/>
      <c r="C174" s="64" t="n">
        <f aca="false">SUM(E174:P174)</f>
        <v>90056.804487454</v>
      </c>
      <c r="D174" s="64" t="n">
        <f aca="false">SUM(Q174:AB174)</f>
        <v>109899.381619278</v>
      </c>
      <c r="E174" s="65" t="n">
        <f aca="false">IF(E$5="A",Inputs_Actuals!E256,E97+E98+E99)</f>
        <v>7047.62</v>
      </c>
      <c r="F174" s="65" t="n">
        <f aca="false">IF(F$5="A",Inputs_Actuals!F256,F97+F98+F99)</f>
        <v>7047.62</v>
      </c>
      <c r="G174" s="65" t="n">
        <f aca="false">IF(G$5="A",Inputs_Actuals!G256,G97+G98+G99)</f>
        <v>7380.95</v>
      </c>
      <c r="H174" s="65" t="n">
        <f aca="false">IF(H$5="A",Inputs_Actuals!H256,H97+H98+H99)</f>
        <v>7916.67</v>
      </c>
      <c r="I174" s="65" t="n">
        <f aca="false">IF(I$5="A",Inputs_Actuals!I256,I97+I98+I99)</f>
        <v>7916.67</v>
      </c>
      <c r="J174" s="65" t="n">
        <f aca="false">IF(J$5="A",Inputs_Actuals!J256,J97+J98+J99)</f>
        <v>7916.67</v>
      </c>
      <c r="K174" s="65" t="n">
        <f aca="false">IF(K$5="A",Inputs_Actuals!K256,K97+K98+K99)</f>
        <v>7916.67</v>
      </c>
      <c r="L174" s="65" t="n">
        <f aca="false">IF(L$5="A",Inputs_Actuals!L256,L97+L98+L99)</f>
        <v>7380.95</v>
      </c>
      <c r="M174" s="65" t="n">
        <f aca="false">IF(M$5="A",Inputs_Actuals!M256,M97+M98+M99)</f>
        <v>7227.18253968254</v>
      </c>
      <c r="N174" s="65" t="n">
        <f aca="false">IF(N$5="A",Inputs_Actuals!N256,N97+N98+N99)</f>
        <v>7076.61623677249</v>
      </c>
      <c r="O174" s="65" t="n">
        <f aca="false">IF(O$5="A",Inputs_Actuals!O256,O97+O98+O99)</f>
        <v>7618.67085882385</v>
      </c>
      <c r="P174" s="65" t="n">
        <f aca="false">IF(P$5="A",Inputs_Actuals!P256,P97+P98+P99)</f>
        <v>7610.51485217508</v>
      </c>
      <c r="Q174" s="65" t="n">
        <f aca="false">IF(Q$5="A",Inputs_Actuals!Q256,Q97+Q98+Q99)</f>
        <v>8974.29925453516</v>
      </c>
      <c r="R174" s="65" t="n">
        <f aca="false">IF(R$5="A",Inputs_Actuals!R256,R97+R98+R99)</f>
        <v>8951.61227712573</v>
      </c>
      <c r="S174" s="65" t="n">
        <f aca="false">IF(S$5="A",Inputs_Actuals!S256,S97+S98+S99)</f>
        <v>8929.22208118564</v>
      </c>
      <c r="T174" s="65" t="n">
        <f aca="false">IF(T$5="A",Inputs_Actuals!T256,T97+T98+T99)</f>
        <v>8930.16118896375</v>
      </c>
      <c r="U174" s="65" t="n">
        <f aca="false">IF(U$5="A",Inputs_Actuals!U256,U97+U98+U99)</f>
        <v>9275.60808663379</v>
      </c>
      <c r="V174" s="65" t="n">
        <f aca="false">IF(V$5="A",Inputs_Actuals!V256,V97+V98+V99)</f>
        <v>9268.39171152029</v>
      </c>
      <c r="W174" s="65" t="n">
        <f aca="false">IF(W$5="A",Inputs_Actuals!W256,W97+W98+W99)</f>
        <v>9261.34524230036</v>
      </c>
      <c r="X174" s="65" t="n">
        <f aca="false">IF(X$5="A",Inputs_Actuals!X256,X97+X98+X99)</f>
        <v>9261.64238489064</v>
      </c>
      <c r="Y174" s="65" t="n">
        <f aca="false">IF(Y$5="A",Inputs_Actuals!Y256,Y97+Y98+Y99)</f>
        <v>9261.78299586209</v>
      </c>
      <c r="Z174" s="65" t="n">
        <f aca="false">IF(Z$5="A",Inputs_Actuals!Z256,Z97+Z98+Z99)</f>
        <v>9261.77387599622</v>
      </c>
      <c r="AA174" s="65" t="n">
        <f aca="false">IF(AA$5="A",Inputs_Actuals!AA256,AA97+AA98+AA99)</f>
        <v>9261.77113659819</v>
      </c>
      <c r="AB174" s="65" t="n">
        <f aca="false">IF(AB$5="A",Inputs_Actuals!AB256,AB97+AB98+AB99)</f>
        <v>9261.77138366619</v>
      </c>
    </row>
    <row r="175" customFormat="false" ht="15" hidden="false" customHeight="false" outlineLevel="0" collapsed="false">
      <c r="A175" s="28" t="s">
        <v>1227</v>
      </c>
      <c r="B175" s="63" t="s">
        <v>1177</v>
      </c>
      <c r="C175" s="64" t="n">
        <f aca="false">SUM(E175:P175)</f>
        <v>90056.804487454</v>
      </c>
      <c r="D175" s="64" t="n">
        <f aca="false">SUM(Q175:AB175)</f>
        <v>109899.381619278</v>
      </c>
      <c r="E175" s="65" t="n">
        <f aca="false">IF(E$5="A",Inputs_Actuals!E258,IF(Assumptions!E$211=1,SUM(E174:E174),0))</f>
        <v>0</v>
      </c>
      <c r="F175" s="65" t="n">
        <f aca="false">IF(F$5="A",Inputs_Actuals!F258,IF(Assumptions!F$211=1,SUM(E174:F174),0))</f>
        <v>0</v>
      </c>
      <c r="G175" s="65" t="n">
        <f aca="false">IF(G$5="A",Inputs_Actuals!G258,IF(Assumptions!G$211=1,SUM(E174:G174),0))</f>
        <v>0</v>
      </c>
      <c r="H175" s="65" t="n">
        <f aca="false">IF(H$5="A",Inputs_Actuals!H258,IF(Assumptions!H$211=1,SUM(E174:H174),0))</f>
        <v>0</v>
      </c>
      <c r="I175" s="65" t="n">
        <f aca="false">IF(I$5="A",Inputs_Actuals!I258,IF(Assumptions!I$211=1,SUM(E174:I174),0))</f>
        <v>0</v>
      </c>
      <c r="J175" s="65" t="n">
        <f aca="false">IF(J$5="A",Inputs_Actuals!J258,IF(Assumptions!J$211=1,SUM(E174:J174),0))</f>
        <v>45226.2</v>
      </c>
      <c r="K175" s="65" t="n">
        <f aca="false">IF(K$5="A",Inputs_Actuals!K258,IF(Assumptions!K$211=1,SUM(F174:K174),0))</f>
        <v>0</v>
      </c>
      <c r="L175" s="65" t="n">
        <f aca="false">IF(L$5="A",Inputs_Actuals!L258,IF(Assumptions!L$211=1,SUM(G174:L174),0))</f>
        <v>0</v>
      </c>
      <c r="M175" s="65" t="n">
        <f aca="false">IF(M$5="A",Inputs_Actuals!M258,IF(Assumptions!M$211=1,SUM(H174:M174),0))</f>
        <v>0</v>
      </c>
      <c r="N175" s="65" t="n">
        <f aca="false">IF(N$5="A",Inputs_Actuals!N258,IF(Assumptions!N$211=1,SUM(I174:N174),0))</f>
        <v>0</v>
      </c>
      <c r="O175" s="65" t="n">
        <f aca="false">IF(O$5="A",Inputs_Actuals!O258,IF(Assumptions!O$211=1,SUM(J174:O174),0))</f>
        <v>0</v>
      </c>
      <c r="P175" s="65" t="n">
        <f aca="false">IF(P$5="A",Inputs_Actuals!P258,IF(Assumptions!P$211=1,SUM(K174:P174),0))</f>
        <v>44830.604487454</v>
      </c>
      <c r="Q175" s="65" t="n">
        <f aca="false">IF(Q$5="A",Inputs_Actuals!Q258,IF(Assumptions!Q$211=1,SUM(L174:Q174),0))</f>
        <v>0</v>
      </c>
      <c r="R175" s="65" t="n">
        <f aca="false">IF(R$5="A",Inputs_Actuals!R258,IF(Assumptions!R$211=1,SUM(M174:R174),0))</f>
        <v>0</v>
      </c>
      <c r="S175" s="65" t="n">
        <f aca="false">IF(S$5="A",Inputs_Actuals!S258,IF(Assumptions!S$211=1,SUM(N174:S174),0))</f>
        <v>0</v>
      </c>
      <c r="T175" s="65" t="n">
        <f aca="false">IF(T$5="A",Inputs_Actuals!T258,IF(Assumptions!T$211=1,SUM(O174:T174),0))</f>
        <v>0</v>
      </c>
      <c r="U175" s="65" t="n">
        <f aca="false">IF(U$5="A",Inputs_Actuals!U258,IF(Assumptions!U$211=1,SUM(P174:U174),0))</f>
        <v>0</v>
      </c>
      <c r="V175" s="65" t="n">
        <f aca="false">IF(V$5="A",Inputs_Actuals!V258,IF(Assumptions!V$211=1,SUM(Q174:V174),0))</f>
        <v>54329.2945999644</v>
      </c>
      <c r="W175" s="65" t="n">
        <f aca="false">IF(W$5="A",Inputs_Actuals!W258,IF(Assumptions!W$211=1,SUM(R174:W174),0))</f>
        <v>0</v>
      </c>
      <c r="X175" s="65" t="n">
        <f aca="false">IF(X$5="A",Inputs_Actuals!X258,IF(Assumptions!X$211=1,SUM(S174:X174),0))</f>
        <v>0</v>
      </c>
      <c r="Y175" s="65" t="n">
        <f aca="false">IF(Y$5="A",Inputs_Actuals!Y258,IF(Assumptions!Y$211=1,SUM(T174:Y174),0))</f>
        <v>0</v>
      </c>
      <c r="Z175" s="65" t="n">
        <f aca="false">IF(Z$5="A",Inputs_Actuals!Z258,IF(Assumptions!Z$211=1,SUM(U174:Z174),0))</f>
        <v>0</v>
      </c>
      <c r="AA175" s="65" t="n">
        <f aca="false">IF(AA$5="A",Inputs_Actuals!AA258,IF(Assumptions!AA$211=1,SUM(V174:AA174),0))</f>
        <v>0</v>
      </c>
      <c r="AB175" s="65" t="n">
        <f aca="false">IF(AB$5="A",Inputs_Actuals!AB258,IF(Assumptions!AB$211=1,SUM(W174:AB174),0))</f>
        <v>55570.0870193137</v>
      </c>
    </row>
    <row r="176" customFormat="false" ht="15" hidden="false" customHeight="false" outlineLevel="0" collapsed="false">
      <c r="A176" s="28" t="s">
        <v>1228</v>
      </c>
      <c r="B176" s="63"/>
      <c r="C176" s="64" t="n">
        <f aca="false">SUM(E176:P176)</f>
        <v>39104.7399383086</v>
      </c>
      <c r="D176" s="64" t="n">
        <f aca="false">SUM(Q176:AB176)</f>
        <v>48246.3638571248</v>
      </c>
      <c r="E176" s="65" t="n">
        <f aca="false">IF(E$5="A",Inputs_Actuals!E260,E82+E83+E84)</f>
        <v>3054.02</v>
      </c>
      <c r="F176" s="65" t="n">
        <f aca="false">IF(F$5="A",Inputs_Actuals!F260,F82+F83+F84)</f>
        <v>3045.36</v>
      </c>
      <c r="G176" s="65" t="n">
        <f aca="false">IF(G$5="A",Inputs_Actuals!G260,G82+G83+G84)</f>
        <v>3198.25</v>
      </c>
      <c r="H176" s="65" t="n">
        <f aca="false">IF(H$5="A",Inputs_Actuals!H260,H82+H83+H84)</f>
        <v>3449.44</v>
      </c>
      <c r="I176" s="65" t="n">
        <f aca="false">IF(I$5="A",Inputs_Actuals!I260,I82+I83+I84)</f>
        <v>3450.51</v>
      </c>
      <c r="J176" s="65" t="n">
        <f aca="false">IF(J$5="A",Inputs_Actuals!J260,J82+J83+J84)</f>
        <v>3447.55</v>
      </c>
      <c r="K176" s="65" t="n">
        <f aca="false">IF(K$5="A",Inputs_Actuals!K260,K82+K83+K84)</f>
        <v>3440.22</v>
      </c>
      <c r="L176" s="65" t="n">
        <f aca="false">IF(L$5="A",Inputs_Actuals!L260,L82+L83+L84)</f>
        <v>3204.75</v>
      </c>
      <c r="M176" s="65" t="n">
        <f aca="false">IF(M$5="A",Inputs_Actuals!M260,M82+M83+M84)</f>
        <v>3130.26650108333</v>
      </c>
      <c r="N176" s="65" t="n">
        <f aca="false">IF(N$5="A",Inputs_Actuals!N260,N82+N83+N84)</f>
        <v>3065.0526156441</v>
      </c>
      <c r="O176" s="65" t="n">
        <f aca="false">IF(O$5="A",Inputs_Actuals!O260,O82+O83+O84)</f>
        <v>3311.54876773485</v>
      </c>
      <c r="P176" s="65" t="n">
        <f aca="false">IF(P$5="A",Inputs_Actuals!P260,P82+P83+P84)</f>
        <v>3307.77205384627</v>
      </c>
      <c r="Q176" s="65" t="n">
        <f aca="false">IF(Q$5="A",Inputs_Actuals!Q260,Q82+Q83+Q84)</f>
        <v>3936.55959575065</v>
      </c>
      <c r="R176" s="65" t="n">
        <f aca="false">IF(R$5="A",Inputs_Actuals!R260,R82+R83+R84)</f>
        <v>3926.20657547297</v>
      </c>
      <c r="S176" s="65" t="n">
        <f aca="false">IF(S$5="A",Inputs_Actuals!S260,S82+S83+S84)</f>
        <v>3915.98757143284</v>
      </c>
      <c r="T176" s="65" t="n">
        <f aca="false">IF(T$5="A",Inputs_Actuals!T260,T82+T83+T84)</f>
        <v>3916.4161552728</v>
      </c>
      <c r="U176" s="65" t="n">
        <f aca="false">IF(U$5="A",Inputs_Actuals!U260,U82+U83+U84)</f>
        <v>4074.0781223603</v>
      </c>
      <c r="V176" s="65" t="n">
        <f aca="false">IF(V$5="A",Inputs_Actuals!V260,V82+V83+V84)</f>
        <v>4070.78456921598</v>
      </c>
      <c r="W176" s="65" t="n">
        <f aca="false">IF(W$5="A",Inputs_Actuals!W260,W82+W83+W84)</f>
        <v>4067.56856059216</v>
      </c>
      <c r="X176" s="65" t="n">
        <f aca="false">IF(X$5="A",Inputs_Actuals!X260,X82+X83+X84)</f>
        <v>4067.70417646233</v>
      </c>
      <c r="Y176" s="65" t="n">
        <f aca="false">IF(Y$5="A",Inputs_Actuals!Y260,Y82+Y83+Y84)</f>
        <v>4067.76835131137</v>
      </c>
      <c r="Z176" s="65" t="n">
        <f aca="false">IF(Z$5="A",Inputs_Actuals!Z260,Z82+Z83+Z84)</f>
        <v>4067.76418900472</v>
      </c>
      <c r="AA176" s="65" t="n">
        <f aca="false">IF(AA$5="A",Inputs_Actuals!AA260,AA82+AA83+AA84)</f>
        <v>4067.76293874342</v>
      </c>
      <c r="AB176" s="65" t="n">
        <f aca="false">IF(AB$5="A",Inputs_Actuals!AB260,AB82+AB83+AB84)</f>
        <v>4067.76305150525</v>
      </c>
    </row>
    <row r="177" customFormat="false" ht="15" hidden="false" customHeight="false" outlineLevel="0" collapsed="false">
      <c r="A177" s="28" t="s">
        <v>1229</v>
      </c>
      <c r="B177" s="63"/>
      <c r="C177" s="64" t="n">
        <f aca="false">SUM(E177:P177)</f>
        <v>115609.250159872</v>
      </c>
      <c r="D177" s="64" t="n">
        <f aca="false">SUM(Q177:AB177)</f>
        <v>139220.011598114</v>
      </c>
      <c r="E177" s="65" t="n">
        <f aca="false">IF(E$5="A",Inputs_Actuals!E261,E112+E113+E114)</f>
        <v>7865.71</v>
      </c>
      <c r="F177" s="65" t="n">
        <f aca="false">IF(F$5="A",Inputs_Actuals!F261,F112+F113+F114)</f>
        <v>7865.71</v>
      </c>
      <c r="G177" s="65" t="n">
        <f aca="false">IF(G$5="A",Inputs_Actuals!G261,G112+G113+G114)</f>
        <v>8105.71</v>
      </c>
      <c r="H177" s="65" t="n">
        <f aca="false">IF(H$5="A",Inputs_Actuals!H261,H112+H113+H114)</f>
        <v>8684.29</v>
      </c>
      <c r="I177" s="65" t="n">
        <f aca="false">IF(I$5="A",Inputs_Actuals!I261,I112+I113+I114)</f>
        <v>8684.29</v>
      </c>
      <c r="J177" s="65" t="n">
        <f aca="false">IF(J$5="A",Inputs_Actuals!J261,J112+J113+J114)</f>
        <v>16999.29</v>
      </c>
      <c r="K177" s="65" t="n">
        <f aca="false">IF(K$5="A",Inputs_Actuals!K261,K112+K113+K114)</f>
        <v>8684.29</v>
      </c>
      <c r="L177" s="65" t="n">
        <f aca="false">IF(L$5="A",Inputs_Actuals!L261,L112+L113+L114)</f>
        <v>8105.71</v>
      </c>
      <c r="M177" s="65" t="n">
        <f aca="false">IF(M$5="A",Inputs_Actuals!M261,M112+M113+M114)</f>
        <v>7936.84523809524</v>
      </c>
      <c r="N177" s="65" t="n">
        <f aca="false">IF(N$5="A",Inputs_Actuals!N261,N112+N113+N114)</f>
        <v>7771.49429563492</v>
      </c>
      <c r="O177" s="65" t="n">
        <f aca="false">IF(O$5="A",Inputs_Actuals!O261,O112+O113+O114)</f>
        <v>8357.02864066634</v>
      </c>
      <c r="P177" s="65" t="n">
        <f aca="false">IF(P$5="A",Inputs_Actuals!P261,P112+P113+P114)</f>
        <v>16548.8819854754</v>
      </c>
      <c r="Q177" s="65" t="n">
        <f aca="false">IF(Q$5="A",Inputs_Actuals!Q261,Q112+Q113+Q114)</f>
        <v>9825.67046556271</v>
      </c>
      <c r="R177" s="65" t="n">
        <f aca="false">IF(R$5="A",Inputs_Actuals!R261,R112+R113+R114)</f>
        <v>9801.16742759452</v>
      </c>
      <c r="S177" s="65" t="n">
        <f aca="false">IF(S$5="A",Inputs_Actuals!S261,S112+S113+S114)</f>
        <v>9776.98611532113</v>
      </c>
      <c r="T177" s="65" t="n">
        <f aca="false">IF(T$5="A",Inputs_Actuals!T261,T112+T113+T114)</f>
        <v>9778.00037261783</v>
      </c>
      <c r="U177" s="65" t="n">
        <f aca="false">IF(U$5="A",Inputs_Actuals!U261,U112+U113+U114)</f>
        <v>10026.8830195965</v>
      </c>
      <c r="V177" s="65" t="n">
        <f aca="false">IF(V$5="A",Inputs_Actuals!V261,V112+V113+V114)</f>
        <v>19893.407539888</v>
      </c>
      <c r="W177" s="65" t="n">
        <f aca="false">IF(W$5="A",Inputs_Actuals!W261,W112+W113+W114)</f>
        <v>10016.6002411434</v>
      </c>
      <c r="X177" s="65" t="n">
        <f aca="false">IF(X$5="A",Inputs_Actuals!X261,X112+X113+X114)</f>
        <v>10016.8144656945</v>
      </c>
      <c r="Y177" s="65" t="n">
        <f aca="false">IF(Y$5="A",Inputs_Actuals!Y261,Y112+Y113+Y114)</f>
        <v>10016.9157650361</v>
      </c>
      <c r="Z177" s="65" t="n">
        <f aca="false">IF(Z$5="A",Inputs_Actuals!Z261,Z112+Z113+Z114)</f>
        <v>10016.9091916217</v>
      </c>
      <c r="AA177" s="65" t="n">
        <f aca="false">IF(AA$5="A",Inputs_Actuals!AA261,AA112+AA113+AA114)</f>
        <v>10016.9072181649</v>
      </c>
      <c r="AB177" s="65" t="n">
        <f aca="false">IF(AB$5="A",Inputs_Actuals!AB261,AB112+AB113+AB114)</f>
        <v>20033.7497758722</v>
      </c>
    </row>
    <row r="178" customFormat="false" ht="15" hidden="false" customHeight="false" outlineLevel="0" collapsed="false">
      <c r="A178" s="28" t="s">
        <v>1230</v>
      </c>
      <c r="B178" s="63"/>
      <c r="C178" s="64" t="n">
        <f aca="false">SUM(E178:P178)</f>
        <v>475562.681313997</v>
      </c>
      <c r="D178" s="64" t="n">
        <f aca="false">SUM(Q178:AB178)</f>
        <v>581829.295879708</v>
      </c>
      <c r="E178" s="74" t="n">
        <f aca="false">E173+E175-E177-E176</f>
        <v>31234.28</v>
      </c>
      <c r="F178" s="74" t="n">
        <f aca="false">F173+F175-F177-F176</f>
        <v>31336.48</v>
      </c>
      <c r="G178" s="74" t="n">
        <f aca="false">G173+G175-G177-G176</f>
        <v>32884.15</v>
      </c>
      <c r="H178" s="74" t="n">
        <f aca="false">H173+H175-H177-H176</f>
        <v>35566.41</v>
      </c>
      <c r="I178" s="74" t="n">
        <f aca="false">I173+I175-I177-I176</f>
        <v>35349.13</v>
      </c>
      <c r="J178" s="74" t="n">
        <f aca="false">J173+J175-J177-J176</f>
        <v>72322.3</v>
      </c>
      <c r="K178" s="74" t="n">
        <f aca="false">K173+K175-K177-K176</f>
        <v>35275.48</v>
      </c>
      <c r="L178" s="74" t="n">
        <f aca="false">L173+L175-L177-L176</f>
        <v>32994.83</v>
      </c>
      <c r="M178" s="74" t="n">
        <f aca="false">M173+M175-M177-M176</f>
        <v>32295.9834989167</v>
      </c>
      <c r="N178" s="74" t="n">
        <f aca="false">N173+N175-N177-N176</f>
        <v>31623.1505093559</v>
      </c>
      <c r="O178" s="74" t="n">
        <f aca="false">O173+O175-O177-O176</f>
        <v>34043.4477445419</v>
      </c>
      <c r="P178" s="74" t="n">
        <f aca="false">P173+P175-P177-P176</f>
        <v>70637.0395611827</v>
      </c>
      <c r="Q178" s="74" t="n">
        <f aca="false">Q173+Q175-Q177-Q176</f>
        <v>40083.5654658976</v>
      </c>
      <c r="R178" s="74" t="n">
        <f aca="false">R173+R175-R177-R176</f>
        <v>39982.2996596869</v>
      </c>
      <c r="S178" s="74" t="n">
        <f aca="false">S173+S175-S177-S176</f>
        <v>39882.3588003598</v>
      </c>
      <c r="T178" s="74" t="n">
        <f aca="false">T173+T175-T177-T176</f>
        <v>39886.5506058919</v>
      </c>
      <c r="U178" s="74" t="n">
        <f aca="false">U173+U175-U177-U176</f>
        <v>41552.6873778459</v>
      </c>
      <c r="V178" s="74" t="n">
        <f aca="false">V173+V175-V177-V176</f>
        <v>85975.4527599821</v>
      </c>
      <c r="W178" s="74" t="n">
        <f aca="false">W173+W175-W177-W176</f>
        <v>41483.9026520666</v>
      </c>
      <c r="X178" s="74" t="n">
        <f aca="false">X173+X175-X177-X176</f>
        <v>41485.335667187</v>
      </c>
      <c r="Y178" s="74" t="n">
        <f aca="false">Y173+Y175-Y177-Y176</f>
        <v>41486.0138588251</v>
      </c>
      <c r="Z178" s="74" t="n">
        <f aca="false">Z173+Z175-Z177-Z176</f>
        <v>41485.9698753509</v>
      </c>
      <c r="AA178" s="74" t="n">
        <f aca="false">AA173+AA175-AA177-AA176</f>
        <v>41485.9566626809</v>
      </c>
      <c r="AB178" s="74" t="n">
        <f aca="false">AB173+AB175-AB177-AB176</f>
        <v>87039.2024939333</v>
      </c>
    </row>
    <row r="179" customFormat="false" ht="15" hidden="false" customHeight="false" outlineLevel="0" collapsed="false">
      <c r="A179" s="28" t="s">
        <v>1231</v>
      </c>
      <c r="B179" s="63"/>
      <c r="C179" s="68" t="n">
        <f aca="false">P179</f>
        <v>6.82932048339844</v>
      </c>
      <c r="D179" s="68" t="n">
        <f aca="false">AB179</f>
        <v>7.80487804877796</v>
      </c>
      <c r="E179" s="80" t="n">
        <f aca="false">E21</f>
        <v>6</v>
      </c>
      <c r="F179" s="80" t="n">
        <f aca="false">F21</f>
        <v>7</v>
      </c>
      <c r="G179" s="80" t="n">
        <f aca="false">G21</f>
        <v>7</v>
      </c>
      <c r="H179" s="80" t="n">
        <f aca="false">H21</f>
        <v>7</v>
      </c>
      <c r="I179" s="80" t="n">
        <f aca="false">I21</f>
        <v>7</v>
      </c>
      <c r="J179" s="80" t="n">
        <f aca="false">J21</f>
        <v>7</v>
      </c>
      <c r="K179" s="80" t="n">
        <f aca="false">K21</f>
        <v>7</v>
      </c>
      <c r="L179" s="80" t="n">
        <f aca="false">L21</f>
        <v>7</v>
      </c>
      <c r="M179" s="80" t="n">
        <f aca="false">M21</f>
        <v>6.9125</v>
      </c>
      <c r="N179" s="80" t="n">
        <f aca="false">N21</f>
        <v>6.82609375</v>
      </c>
      <c r="O179" s="80" t="n">
        <f aca="false">O21</f>
        <v>6.828267578125</v>
      </c>
      <c r="P179" s="80" t="n">
        <f aca="false">P21</f>
        <v>6.82932048339844</v>
      </c>
      <c r="Q179" s="80" t="n">
        <f aca="false">Q21</f>
        <v>7.82928014923096</v>
      </c>
      <c r="R179" s="80" t="n">
        <f aca="false">R21</f>
        <v>7.81676749209213</v>
      </c>
      <c r="S179" s="80" t="n">
        <f aca="false">S21</f>
        <v>7.80442440448346</v>
      </c>
      <c r="T179" s="80" t="n">
        <f aca="false">T21</f>
        <v>7.80473510129281</v>
      </c>
      <c r="U179" s="80" t="n">
        <f aca="false">U21</f>
        <v>7.8048855061778</v>
      </c>
      <c r="V179" s="80" t="n">
        <f aca="false">V21</f>
        <v>7.80487974240662</v>
      </c>
      <c r="W179" s="80" t="n">
        <f aca="false">W21</f>
        <v>7.80487793439269</v>
      </c>
      <c r="X179" s="80" t="n">
        <f aca="false">X21</f>
        <v>7.80487802904001</v>
      </c>
      <c r="Y179" s="80" t="n">
        <f aca="false">Y21</f>
        <v>7.80487805045709</v>
      </c>
      <c r="Z179" s="80" t="n">
        <f aca="false">Z21</f>
        <v>7.80487804900629</v>
      </c>
      <c r="AA179" s="80" t="n">
        <f aca="false">AA21</f>
        <v>7.80487804875671</v>
      </c>
      <c r="AB179" s="80" t="n">
        <f aca="false">AB21</f>
        <v>7.80487804877796</v>
      </c>
    </row>
    <row r="180" customFormat="false" ht="15" hidden="false" customHeight="false" outlineLevel="0" collapsed="false">
      <c r="A180" s="28" t="s">
        <v>1232</v>
      </c>
      <c r="B180" s="63"/>
      <c r="C180" s="64" t="n">
        <f aca="false">SUM(E180:P180)</f>
        <v>315704.816944173</v>
      </c>
      <c r="D180" s="64" t="n">
        <f aca="false">SUM(Q180:AB180)</f>
        <v>371731.899406384</v>
      </c>
      <c r="E180" s="65" t="n">
        <f aca="false">IF(E$5="A",Inputs_Actuals!E262,E55)</f>
        <v>22977.55</v>
      </c>
      <c r="F180" s="65" t="n">
        <f aca="false">IF(F$5="A",Inputs_Actuals!F262,F55)</f>
        <v>26758.62</v>
      </c>
      <c r="G180" s="65" t="n">
        <f aca="false">IF(G$5="A",Inputs_Actuals!G262,G55)</f>
        <v>26838.84</v>
      </c>
      <c r="H180" s="65" t="n">
        <f aca="false">IF(H$5="A",Inputs_Actuals!H262,H55)</f>
        <v>26785.91</v>
      </c>
      <c r="I180" s="65" t="n">
        <f aca="false">IF(I$5="A",Inputs_Actuals!I262,I55)</f>
        <v>26867.67</v>
      </c>
      <c r="J180" s="65" t="n">
        <f aca="false">IF(J$5="A",Inputs_Actuals!J262,J55)</f>
        <v>26896.6</v>
      </c>
      <c r="K180" s="65" t="n">
        <f aca="false">IF(K$5="A",Inputs_Actuals!K262,K55)</f>
        <v>26763.17</v>
      </c>
      <c r="L180" s="65" t="n">
        <f aca="false">IF(L$5="A",Inputs_Actuals!L262,L55)</f>
        <v>26797.76</v>
      </c>
      <c r="M180" s="65" t="n">
        <f aca="false">IF(M$5="A",Inputs_Actuals!M262,M55)</f>
        <v>26497.9166666667</v>
      </c>
      <c r="N180" s="65" t="n">
        <f aca="false">IF(N$5="A",Inputs_Actuals!N262,N55)</f>
        <v>26166.6927083333</v>
      </c>
      <c r="O180" s="65" t="n">
        <f aca="false">IF(O$5="A",Inputs_Actuals!O262,O55)</f>
        <v>26175.0257161458</v>
      </c>
      <c r="P180" s="65" t="n">
        <f aca="false">IF(P$5="A",Inputs_Actuals!P262,P55)</f>
        <v>26179.0618530273</v>
      </c>
      <c r="Q180" s="65" t="n">
        <f aca="false">IF(Q$5="A",Inputs_Actuals!Q262,Q55)</f>
        <v>31062.6689920738</v>
      </c>
      <c r="R180" s="65" t="n">
        <f aca="false">IF(R$5="A",Inputs_Actuals!R262,R55)</f>
        <v>31013.0250248755</v>
      </c>
      <c r="S180" s="65" t="n">
        <f aca="false">IF(S$5="A",Inputs_Actuals!S262,S55)</f>
        <v>30964.0538247881</v>
      </c>
      <c r="T180" s="65" t="n">
        <f aca="false">IF(T$5="A",Inputs_Actuals!T262,T55)</f>
        <v>30965.2865143792</v>
      </c>
      <c r="U180" s="65" t="n">
        <f aca="false">IF(U$5="A",Inputs_Actuals!U262,U55)</f>
        <v>30965.8832457604</v>
      </c>
      <c r="V180" s="65" t="n">
        <f aca="false">IF(V$5="A",Inputs_Actuals!V262,V55)</f>
        <v>30965.8603779982</v>
      </c>
      <c r="W180" s="65" t="n">
        <f aca="false">IF(W$5="A",Inputs_Actuals!W262,W55)</f>
        <v>30965.853204703</v>
      </c>
      <c r="X180" s="65" t="n">
        <f aca="false">IF(X$5="A",Inputs_Actuals!X262,X55)</f>
        <v>30965.8535802162</v>
      </c>
      <c r="Y180" s="65" t="n">
        <f aca="false">IF(Y$5="A",Inputs_Actuals!Y262,Y55)</f>
        <v>30965.8536651885</v>
      </c>
      <c r="Z180" s="65" t="n">
        <f aca="false">IF(Z$5="A",Inputs_Actuals!Z262,Z55)</f>
        <v>30965.8536594324</v>
      </c>
      <c r="AA180" s="65" t="n">
        <f aca="false">IF(AA$5="A",Inputs_Actuals!AA262,AA55)</f>
        <v>30965.8536584422</v>
      </c>
      <c r="AB180" s="65" t="n">
        <f aca="false">IF(AB$5="A",Inputs_Actuals!AB262,AB55)</f>
        <v>30965.8536585266</v>
      </c>
    </row>
    <row r="181" customFormat="false" ht="15" hidden="false" customHeight="false" outlineLevel="0" collapsed="false">
      <c r="A181" s="28" t="s">
        <v>1233</v>
      </c>
      <c r="B181" s="63"/>
      <c r="C181" s="64" t="n">
        <f aca="false">SUM(E181:P181)</f>
        <v>101606.561067552</v>
      </c>
      <c r="D181" s="64" t="n">
        <f aca="false">SUM(Q181:AB181)</f>
        <v>119809.191178678</v>
      </c>
      <c r="E181" s="65" t="n">
        <f aca="false">IF(E$5="A",Inputs_Actuals!E266,E70)</f>
        <v>7415.46</v>
      </c>
      <c r="F181" s="65" t="n">
        <f aca="false">IF(F$5="A",Inputs_Actuals!F266,F70)</f>
        <v>8628.51</v>
      </c>
      <c r="G181" s="65" t="n">
        <f aca="false">IF(G$5="A",Inputs_Actuals!G266,G70)</f>
        <v>8630.2</v>
      </c>
      <c r="H181" s="65" t="n">
        <f aca="false">IF(H$5="A",Inputs_Actuals!H266,H70)</f>
        <v>8642.76</v>
      </c>
      <c r="I181" s="65" t="n">
        <f aca="false">IF(I$5="A",Inputs_Actuals!I266,I70)</f>
        <v>8616.24</v>
      </c>
      <c r="J181" s="65" t="n">
        <f aca="false">IF(J$5="A",Inputs_Actuals!J266,J70)</f>
        <v>8623.22</v>
      </c>
      <c r="K181" s="65" t="n">
        <f aca="false">IF(K$5="A",Inputs_Actuals!K266,K70)</f>
        <v>8647.08</v>
      </c>
      <c r="L181" s="65" t="n">
        <f aca="false">IF(L$5="A",Inputs_Actuals!L266,L70)</f>
        <v>8639.58</v>
      </c>
      <c r="M181" s="65" t="n">
        <f aca="false">IF(M$5="A",Inputs_Actuals!M266,M70)</f>
        <v>8519.08020833333</v>
      </c>
      <c r="N181" s="65" t="n">
        <f aca="false">IF(N$5="A",Inputs_Actuals!N266,N70)</f>
        <v>8412.59170572917</v>
      </c>
      <c r="O181" s="65" t="n">
        <f aca="false">IF(O$5="A",Inputs_Actuals!O266,O70)</f>
        <v>8415.27076774089</v>
      </c>
      <c r="P181" s="65" t="n">
        <f aca="false">IF(P$5="A",Inputs_Actuals!P266,P70)</f>
        <v>8416.56838574829</v>
      </c>
      <c r="Q181" s="65" t="n">
        <f aca="false">IF(Q$5="A",Inputs_Actuals!Q266,Q70)</f>
        <v>10011.4982161454</v>
      </c>
      <c r="R181" s="65" t="n">
        <f aca="false">IF(R$5="A",Inputs_Actuals!R266,R70)</f>
        <v>9995.49796551739</v>
      </c>
      <c r="S181" s="65" t="n">
        <f aca="false">IF(S$5="A",Inputs_Actuals!S266,S70)</f>
        <v>9979.71454772922</v>
      </c>
      <c r="T181" s="65" t="n">
        <f aca="false">IF(T$5="A",Inputs_Actuals!T266,T70)</f>
        <v>9980.11184358442</v>
      </c>
      <c r="U181" s="65" t="n">
        <f aca="false">IF(U$5="A",Inputs_Actuals!U266,U70)</f>
        <v>9980.30417010858</v>
      </c>
      <c r="V181" s="65" t="n">
        <f aca="false">IF(V$5="A",Inputs_Actuals!V266,V70)</f>
        <v>9980.29679982884</v>
      </c>
      <c r="W181" s="65" t="n">
        <f aca="false">IF(W$5="A",Inputs_Actuals!W266,W70)</f>
        <v>9980.29448787578</v>
      </c>
      <c r="X181" s="65" t="n">
        <f aca="false">IF(X$5="A",Inputs_Actuals!X266,X70)</f>
        <v>9980.29460890369</v>
      </c>
      <c r="Y181" s="65" t="n">
        <f aca="false">IF(Y$5="A",Inputs_Actuals!Y266,Y70)</f>
        <v>9980.29463629026</v>
      </c>
      <c r="Z181" s="65" t="n">
        <f aca="false">IF(Z$5="A",Inputs_Actuals!Z266,Z70)</f>
        <v>9980.29463443508</v>
      </c>
      <c r="AA181" s="65" t="n">
        <f aca="false">IF(AA$5="A",Inputs_Actuals!AA266,AA70)</f>
        <v>9980.29463411593</v>
      </c>
      <c r="AB181" s="65" t="n">
        <f aca="false">IF(AB$5="A",Inputs_Actuals!AB266,AB70)</f>
        <v>9980.29463414311</v>
      </c>
    </row>
    <row r="182" customFormat="false" ht="15" hidden="false" customHeight="false" outlineLevel="0" collapsed="false">
      <c r="A182" s="59" t="s">
        <v>1234</v>
      </c>
      <c r="B182" s="60" t="s">
        <v>1173</v>
      </c>
      <c r="C182" s="61" t="n">
        <f aca="false">SUM(E182:P182)</f>
        <v>417311.378011725</v>
      </c>
      <c r="D182" s="61" t="n">
        <f aca="false">SUM(Q182:AB182)</f>
        <v>491541.090585062</v>
      </c>
      <c r="E182" s="61" t="n">
        <f aca="false">E180+E181</f>
        <v>30393.01</v>
      </c>
      <c r="F182" s="61" t="n">
        <f aca="false">F180+F181</f>
        <v>35387.13</v>
      </c>
      <c r="G182" s="61" t="n">
        <f aca="false">G180+G181</f>
        <v>35469.04</v>
      </c>
      <c r="H182" s="61" t="n">
        <f aca="false">H180+H181</f>
        <v>35428.67</v>
      </c>
      <c r="I182" s="61" t="n">
        <f aca="false">I180+I181</f>
        <v>35483.91</v>
      </c>
      <c r="J182" s="61" t="n">
        <f aca="false">J180+J181</f>
        <v>35519.82</v>
      </c>
      <c r="K182" s="61" t="n">
        <f aca="false">K180+K181</f>
        <v>35410.25</v>
      </c>
      <c r="L182" s="61" t="n">
        <f aca="false">L180+L181</f>
        <v>35437.34</v>
      </c>
      <c r="M182" s="61" t="n">
        <f aca="false">M180+M181</f>
        <v>35016.996875</v>
      </c>
      <c r="N182" s="61" t="n">
        <f aca="false">N180+N181</f>
        <v>34579.2844140625</v>
      </c>
      <c r="O182" s="61" t="n">
        <f aca="false">O180+O181</f>
        <v>34590.2964838867</v>
      </c>
      <c r="P182" s="61" t="n">
        <f aca="false">P180+P181</f>
        <v>34595.6302387756</v>
      </c>
      <c r="Q182" s="61" t="n">
        <f aca="false">Q180+Q181</f>
        <v>41074.1672082192</v>
      </c>
      <c r="R182" s="61" t="n">
        <f aca="false">R180+R181</f>
        <v>41008.5229903929</v>
      </c>
      <c r="S182" s="61" t="n">
        <f aca="false">S180+S181</f>
        <v>40943.7683725174</v>
      </c>
      <c r="T182" s="61" t="n">
        <f aca="false">T180+T181</f>
        <v>40945.3983579636</v>
      </c>
      <c r="U182" s="61" t="n">
        <f aca="false">U180+U181</f>
        <v>40946.187415869</v>
      </c>
      <c r="V182" s="61" t="n">
        <f aca="false">V180+V181</f>
        <v>40946.1571778271</v>
      </c>
      <c r="W182" s="61" t="n">
        <f aca="false">W180+W181</f>
        <v>40946.1476925788</v>
      </c>
      <c r="X182" s="61" t="n">
        <f aca="false">X180+X181</f>
        <v>40946.1481891199</v>
      </c>
      <c r="Y182" s="61" t="n">
        <f aca="false">Y180+Y181</f>
        <v>40946.1483014788</v>
      </c>
      <c r="Z182" s="61" t="n">
        <f aca="false">Z180+Z181</f>
        <v>40946.1482938675</v>
      </c>
      <c r="AA182" s="61" t="n">
        <f aca="false">AA180+AA181</f>
        <v>40946.1482925582</v>
      </c>
      <c r="AB182" s="61" t="n">
        <f aca="false">AB180+AB181</f>
        <v>40946.1482926697</v>
      </c>
    </row>
    <row r="183" customFormat="false" ht="15" hidden="false" customHeight="false" outlineLevel="0" collapsed="false">
      <c r="A183" s="28" t="s">
        <v>1235</v>
      </c>
      <c r="B183" s="63"/>
      <c r="C183" s="64" t="n">
        <f aca="false">SUM(E183:P183)</f>
        <v>270583.125952148</v>
      </c>
      <c r="D183" s="64" t="n">
        <f aca="false">SUM(Q183:AB183)</f>
        <v>318627.342348329</v>
      </c>
      <c r="E183" s="65" t="n">
        <f aca="false">IF(E$5="A",Inputs_Actuals!E264,E21*Assumptions!$D$88*IF(Assumptions!E$191=2027,1+Assumptions!$F$175,1)/14)</f>
        <v>19691.84</v>
      </c>
      <c r="F183" s="65" t="n">
        <f aca="false">IF(F$5="A",Inputs_Actuals!F264,F21*Assumptions!$D$88*IF(Assumptions!F$191=2027,1+Assumptions!$F$175,1)/14)</f>
        <v>22925.29</v>
      </c>
      <c r="G183" s="65" t="n">
        <f aca="false">IF(G$5="A",Inputs_Actuals!G264,G21*Assumptions!$D$88*IF(Assumptions!G$191=2027,1+Assumptions!$F$175,1)/14)</f>
        <v>23005.51</v>
      </c>
      <c r="H183" s="65" t="n">
        <f aca="false">IF(H$5="A",Inputs_Actuals!H264,H21*Assumptions!$D$88*IF(Assumptions!H$191=2027,1+Assumptions!$F$175,1)/14)</f>
        <v>22952.58</v>
      </c>
      <c r="I183" s="65" t="n">
        <f aca="false">IF(I$5="A",Inputs_Actuals!I264,I21*Assumptions!$D$88*IF(Assumptions!I$191=2027,1+Assumptions!$F$175,1)/14)</f>
        <v>23034.34</v>
      </c>
      <c r="J183" s="65" t="n">
        <f aca="false">IF(J$5="A",Inputs_Actuals!J264,J21*Assumptions!$D$88*IF(Assumptions!J$191=2027,1+Assumptions!$F$175,1)/14)</f>
        <v>23063.27</v>
      </c>
      <c r="K183" s="65" t="n">
        <f aca="false">IF(K$5="A",Inputs_Actuals!K264,K21*Assumptions!$D$88*IF(Assumptions!K$191=2027,1+Assumptions!$F$175,1)/14)</f>
        <v>22929.84</v>
      </c>
      <c r="L183" s="65" t="n">
        <f aca="false">IF(L$5="A",Inputs_Actuals!L264,L21*Assumptions!$D$88*IF(Assumptions!L$191=2027,1+Assumptions!$F$175,1)/14)</f>
        <v>22964.43</v>
      </c>
      <c r="M183" s="65" t="n">
        <f aca="false">IF(M$5="A",Inputs_Actuals!M264,M21*Assumptions!$D$88*IF(Assumptions!M$191=2027,1+Assumptions!$F$175,1)/14)</f>
        <v>22712.5</v>
      </c>
      <c r="N183" s="65" t="n">
        <f aca="false">IF(N$5="A",Inputs_Actuals!N264,N21*Assumptions!$D$88*IF(Assumptions!N$191=2027,1+Assumptions!$F$175,1)/14)</f>
        <v>22428.59375</v>
      </c>
      <c r="O183" s="65" t="n">
        <f aca="false">IF(O$5="A",Inputs_Actuals!O264,O21*Assumptions!$D$88*IF(Assumptions!O$191=2027,1+Assumptions!$F$175,1)/14)</f>
        <v>22435.736328125</v>
      </c>
      <c r="P183" s="65" t="n">
        <f aca="false">IF(P$5="A",Inputs_Actuals!P264,P21*Assumptions!$D$88*IF(Assumptions!P$191=2027,1+Assumptions!$F$175,1)/14)</f>
        <v>22439.1958740234</v>
      </c>
      <c r="Q183" s="65" t="n">
        <f aca="false">IF(Q$5="A",Inputs_Actuals!Q264,Q21*Assumptions!$D$88*IF(Assumptions!Q$191=2027,1+Assumptions!$F$175,1)/14)</f>
        <v>26625.144850349</v>
      </c>
      <c r="R183" s="65" t="n">
        <f aca="false">IF(R$5="A",Inputs_Actuals!R264,R21*Assumptions!$D$88*IF(Assumptions!R$191=2027,1+Assumptions!$F$175,1)/14)</f>
        <v>26582.5928784647</v>
      </c>
      <c r="S183" s="65" t="n">
        <f aca="false">IF(S$5="A",Inputs_Actuals!S264,S21*Assumptions!$D$88*IF(Assumptions!S$191=2027,1+Assumptions!$F$175,1)/14)</f>
        <v>26540.6175641041</v>
      </c>
      <c r="T183" s="65" t="n">
        <f aca="false">IF(T$5="A",Inputs_Actuals!T264,T21*Assumptions!$D$88*IF(Assumptions!T$191=2027,1+Assumptions!$F$175,1)/14)</f>
        <v>26541.6741551822</v>
      </c>
      <c r="U183" s="65" t="n">
        <f aca="false">IF(U$5="A",Inputs_Actuals!U264,U21*Assumptions!$D$88*IF(Assumptions!U$191=2027,1+Assumptions!$F$175,1)/14)</f>
        <v>26542.1856392232</v>
      </c>
      <c r="V183" s="65" t="n">
        <f aca="false">IF(V$5="A",Inputs_Actuals!V264,V21*Assumptions!$D$88*IF(Assumptions!V$191=2027,1+Assumptions!$F$175,1)/14)</f>
        <v>26542.1660382842</v>
      </c>
      <c r="W183" s="65" t="n">
        <f aca="false">IF(W$5="A",Inputs_Actuals!W264,W21*Assumptions!$D$88*IF(Assumptions!W$191=2027,1+Assumptions!$F$175,1)/14)</f>
        <v>26542.1598897454</v>
      </c>
      <c r="X183" s="65" t="n">
        <f aca="false">IF(X$5="A",Inputs_Actuals!X264,X21*Assumptions!$D$88*IF(Assumptions!X$191=2027,1+Assumptions!$F$175,1)/14)</f>
        <v>26542.1602116139</v>
      </c>
      <c r="Y183" s="65" t="n">
        <f aca="false">IF(Y$5="A",Inputs_Actuals!Y264,Y21*Assumptions!$D$88*IF(Assumptions!Y$191=2027,1+Assumptions!$F$175,1)/14)</f>
        <v>26542.1602844473</v>
      </c>
      <c r="Z183" s="65" t="n">
        <f aca="false">IF(Z$5="A",Inputs_Actuals!Z264,Z21*Assumptions!$D$88*IF(Assumptions!Z$191=2027,1+Assumptions!$F$175,1)/14)</f>
        <v>26542.1602795135</v>
      </c>
      <c r="AA183" s="65" t="n">
        <f aca="false">IF(AA$5="A",Inputs_Actuals!AA264,AA21*Assumptions!$D$88*IF(Assumptions!AA$191=2027,1+Assumptions!$F$175,1)/14)</f>
        <v>26542.1602786648</v>
      </c>
      <c r="AB183" s="65" t="n">
        <f aca="false">IF(AB$5="A",Inputs_Actuals!AB264,AB21*Assumptions!$D$88*IF(Assumptions!AB$191=2027,1+Assumptions!$F$175,1)/14)</f>
        <v>26542.1602787371</v>
      </c>
    </row>
    <row r="184" customFormat="false" ht="15" hidden="false" customHeight="false" outlineLevel="0" collapsed="false">
      <c r="A184" s="28" t="s">
        <v>1236</v>
      </c>
      <c r="B184" s="63"/>
      <c r="C184" s="64" t="n">
        <f aca="false">SUM(E184:P184)</f>
        <v>45121.6909920247</v>
      </c>
      <c r="D184" s="64" t="n">
        <f aca="false">SUM(Q184:AB184)</f>
        <v>53104.5570580549</v>
      </c>
      <c r="E184" s="65" t="n">
        <f aca="false">IF(E$5="A",Inputs_Actuals!E263,E100)</f>
        <v>3285.71</v>
      </c>
      <c r="F184" s="65" t="n">
        <f aca="false">IF(F$5="A",Inputs_Actuals!F263,F100)</f>
        <v>3833.33</v>
      </c>
      <c r="G184" s="65" t="n">
        <f aca="false">IF(G$5="A",Inputs_Actuals!G263,G100)</f>
        <v>3833.33</v>
      </c>
      <c r="H184" s="65" t="n">
        <f aca="false">IF(H$5="A",Inputs_Actuals!H263,H100)</f>
        <v>3833.33</v>
      </c>
      <c r="I184" s="65" t="n">
        <f aca="false">IF(I$5="A",Inputs_Actuals!I263,I100)</f>
        <v>3833.33</v>
      </c>
      <c r="J184" s="65" t="n">
        <f aca="false">IF(J$5="A",Inputs_Actuals!J263,J100)</f>
        <v>3833.33</v>
      </c>
      <c r="K184" s="65" t="n">
        <f aca="false">IF(K$5="A",Inputs_Actuals!K263,K100)</f>
        <v>3833.33</v>
      </c>
      <c r="L184" s="65" t="n">
        <f aca="false">IF(L$5="A",Inputs_Actuals!L263,L100)</f>
        <v>3833.33</v>
      </c>
      <c r="M184" s="65" t="n">
        <f aca="false">IF(M$5="A",Inputs_Actuals!M263,M100)</f>
        <v>3785.41666666667</v>
      </c>
      <c r="N184" s="65" t="n">
        <f aca="false">IF(N$5="A",Inputs_Actuals!N263,N100)</f>
        <v>3738.09895833333</v>
      </c>
      <c r="O184" s="65" t="n">
        <f aca="false">IF(O$5="A",Inputs_Actuals!O263,O100)</f>
        <v>3739.28938802083</v>
      </c>
      <c r="P184" s="65" t="n">
        <f aca="false">IF(P$5="A",Inputs_Actuals!P263,P100)</f>
        <v>3739.86597900391</v>
      </c>
      <c r="Q184" s="65" t="n">
        <f aca="false">IF(Q$5="A",Inputs_Actuals!Q263,Q100)</f>
        <v>4437.52414172483</v>
      </c>
      <c r="R184" s="65" t="n">
        <f aca="false">IF(R$5="A",Inputs_Actuals!R263,R100)</f>
        <v>4430.43214641079</v>
      </c>
      <c r="S184" s="65" t="n">
        <f aca="false">IF(S$5="A",Inputs_Actuals!S263,S100)</f>
        <v>4423.43626068402</v>
      </c>
      <c r="T184" s="65" t="n">
        <f aca="false">IF(T$5="A",Inputs_Actuals!T263,T100)</f>
        <v>4423.61235919703</v>
      </c>
      <c r="U184" s="65" t="n">
        <f aca="false">IF(U$5="A",Inputs_Actuals!U263,U100)</f>
        <v>4423.6976065372</v>
      </c>
      <c r="V184" s="65" t="n">
        <f aca="false">IF(V$5="A",Inputs_Actuals!V263,V100)</f>
        <v>4423.69433971404</v>
      </c>
      <c r="W184" s="65" t="n">
        <f aca="false">IF(W$5="A",Inputs_Actuals!W263,W100)</f>
        <v>4423.69331495757</v>
      </c>
      <c r="X184" s="65" t="n">
        <f aca="false">IF(X$5="A",Inputs_Actuals!X263,X100)</f>
        <v>4423.69336860232</v>
      </c>
      <c r="Y184" s="65" t="n">
        <f aca="false">IF(Y$5="A",Inputs_Actuals!Y263,Y100)</f>
        <v>4423.69338074122</v>
      </c>
      <c r="Z184" s="65" t="n">
        <f aca="false">IF(Z$5="A",Inputs_Actuals!Z263,Z100)</f>
        <v>4423.69337991892</v>
      </c>
      <c r="AA184" s="65" t="n">
        <f aca="false">IF(AA$5="A",Inputs_Actuals!AA263,AA100)</f>
        <v>4423.69337977746</v>
      </c>
      <c r="AB184" s="65" t="n">
        <f aca="false">IF(AB$5="A",Inputs_Actuals!AB263,AB100)</f>
        <v>4423.69337978951</v>
      </c>
    </row>
    <row r="185" customFormat="false" ht="15" hidden="false" customHeight="false" outlineLevel="0" collapsed="false">
      <c r="A185" s="28" t="s">
        <v>1237</v>
      </c>
      <c r="B185" s="63" t="s">
        <v>1177</v>
      </c>
      <c r="C185" s="64" t="n">
        <f aca="false">SUM(E185:P185)</f>
        <v>45121.6909920247</v>
      </c>
      <c r="D185" s="64" t="n">
        <f aca="false">SUM(Q185:AB185)</f>
        <v>53104.5570580549</v>
      </c>
      <c r="E185" s="65" t="n">
        <f aca="false">IF(E$5="A",Inputs_Actuals!E265,IF(Assumptions!E$211=1,SUM(E184:E184),0))</f>
        <v>0</v>
      </c>
      <c r="F185" s="65" t="n">
        <f aca="false">IF(F$5="A",Inputs_Actuals!F265,IF(Assumptions!F$211=1,SUM(E184:F184),0))</f>
        <v>0</v>
      </c>
      <c r="G185" s="65" t="n">
        <f aca="false">IF(G$5="A",Inputs_Actuals!G265,IF(Assumptions!G$211=1,SUM(E184:G184),0))</f>
        <v>0</v>
      </c>
      <c r="H185" s="65" t="n">
        <f aca="false">IF(H$5="A",Inputs_Actuals!H265,IF(Assumptions!H$211=1,SUM(E184:H184),0))</f>
        <v>0</v>
      </c>
      <c r="I185" s="65" t="n">
        <f aca="false">IF(I$5="A",Inputs_Actuals!I265,IF(Assumptions!I$211=1,SUM(E184:I184),0))</f>
        <v>0</v>
      </c>
      <c r="J185" s="65" t="n">
        <f aca="false">IF(J$5="A",Inputs_Actuals!J265,IF(Assumptions!J$211=1,SUM(E184:J184),0))</f>
        <v>22452.36</v>
      </c>
      <c r="K185" s="65" t="n">
        <f aca="false">IF(K$5="A",Inputs_Actuals!K265,IF(Assumptions!K$211=1,SUM(F184:K184),0))</f>
        <v>0</v>
      </c>
      <c r="L185" s="65" t="n">
        <f aca="false">IF(L$5="A",Inputs_Actuals!L265,IF(Assumptions!L$211=1,SUM(G184:L184),0))</f>
        <v>0</v>
      </c>
      <c r="M185" s="65" t="n">
        <f aca="false">IF(M$5="A",Inputs_Actuals!M265,IF(Assumptions!M$211=1,SUM(H184:M184),0))</f>
        <v>0</v>
      </c>
      <c r="N185" s="65" t="n">
        <f aca="false">IF(N$5="A",Inputs_Actuals!N265,IF(Assumptions!N$211=1,SUM(I184:N184),0))</f>
        <v>0</v>
      </c>
      <c r="O185" s="65" t="n">
        <f aca="false">IF(O$5="A",Inputs_Actuals!O265,IF(Assumptions!O$211=1,SUM(J184:O184),0))</f>
        <v>0</v>
      </c>
      <c r="P185" s="65" t="n">
        <f aca="false">IF(P$5="A",Inputs_Actuals!P265,IF(Assumptions!P$211=1,SUM(K184:P184),0))</f>
        <v>22669.3309920247</v>
      </c>
      <c r="Q185" s="65" t="n">
        <f aca="false">IF(Q$5="A",Inputs_Actuals!Q265,IF(Assumptions!Q$211=1,SUM(L184:Q184),0))</f>
        <v>0</v>
      </c>
      <c r="R185" s="65" t="n">
        <f aca="false">IF(R$5="A",Inputs_Actuals!R265,IF(Assumptions!R$211=1,SUM(M184:R184),0))</f>
        <v>0</v>
      </c>
      <c r="S185" s="65" t="n">
        <f aca="false">IF(S$5="A",Inputs_Actuals!S265,IF(Assumptions!S$211=1,SUM(N184:S184),0))</f>
        <v>0</v>
      </c>
      <c r="T185" s="65" t="n">
        <f aca="false">IF(T$5="A",Inputs_Actuals!T265,IF(Assumptions!T$211=1,SUM(O184:T184),0))</f>
        <v>0</v>
      </c>
      <c r="U185" s="65" t="n">
        <f aca="false">IF(U$5="A",Inputs_Actuals!U265,IF(Assumptions!U$211=1,SUM(P184:U184),0))</f>
        <v>0</v>
      </c>
      <c r="V185" s="65" t="n">
        <f aca="false">IF(V$5="A",Inputs_Actuals!V265,IF(Assumptions!V$211=1,SUM(Q184:V184),0))</f>
        <v>26562.3968542679</v>
      </c>
      <c r="W185" s="65" t="n">
        <f aca="false">IF(W$5="A",Inputs_Actuals!W265,IF(Assumptions!W$211=1,SUM(R184:W184),0))</f>
        <v>0</v>
      </c>
      <c r="X185" s="65" t="n">
        <f aca="false">IF(X$5="A",Inputs_Actuals!X265,IF(Assumptions!X$211=1,SUM(S184:X184),0))</f>
        <v>0</v>
      </c>
      <c r="Y185" s="65" t="n">
        <f aca="false">IF(Y$5="A",Inputs_Actuals!Y265,IF(Assumptions!Y$211=1,SUM(T184:Y184),0))</f>
        <v>0</v>
      </c>
      <c r="Z185" s="65" t="n">
        <f aca="false">IF(Z$5="A",Inputs_Actuals!Z265,IF(Assumptions!Z$211=1,SUM(U184:Z184),0))</f>
        <v>0</v>
      </c>
      <c r="AA185" s="65" t="n">
        <f aca="false">IF(AA$5="A",Inputs_Actuals!AA265,IF(Assumptions!AA$211=1,SUM(V184:AA184),0))</f>
        <v>0</v>
      </c>
      <c r="AB185" s="65" t="n">
        <f aca="false">IF(AB$5="A",Inputs_Actuals!AB265,IF(Assumptions!AB$211=1,SUM(W184:AB184),0))</f>
        <v>26542.160203787</v>
      </c>
    </row>
    <row r="186" customFormat="false" ht="15" hidden="false" customHeight="false" outlineLevel="0" collapsed="false">
      <c r="A186" s="28" t="s">
        <v>1238</v>
      </c>
      <c r="B186" s="63"/>
      <c r="C186" s="64" t="n">
        <f aca="false">SUM(E186:P186)</f>
        <v>20527.4553013713</v>
      </c>
      <c r="D186" s="64" t="n">
        <f aca="false">SUM(Q186:AB186)</f>
        <v>24236.9198412963</v>
      </c>
      <c r="E186" s="65" t="n">
        <f aca="false">IF(E$5="A",Inputs_Actuals!E267,E85)</f>
        <v>1497.46</v>
      </c>
      <c r="F186" s="65" t="n">
        <f aca="false">IF(F$5="A",Inputs_Actuals!F267,F85)</f>
        <v>1743.99</v>
      </c>
      <c r="G186" s="65" t="n">
        <f aca="false">IF(G$5="A",Inputs_Actuals!G267,G85)</f>
        <v>1739.62</v>
      </c>
      <c r="H186" s="65" t="n">
        <f aca="false">IF(H$5="A",Inputs_Actuals!H267,H85)</f>
        <v>1746.84</v>
      </c>
      <c r="I186" s="65" t="n">
        <f aca="false">IF(I$5="A",Inputs_Actuals!I267,I85)</f>
        <v>1745.21</v>
      </c>
      <c r="J186" s="65" t="n">
        <f aca="false">IF(J$5="A",Inputs_Actuals!J267,J85)</f>
        <v>1735.84</v>
      </c>
      <c r="K186" s="65" t="n">
        <f aca="false">IF(K$5="A",Inputs_Actuals!K267,K85)</f>
        <v>1744.94</v>
      </c>
      <c r="L186" s="65" t="n">
        <f aca="false">IF(L$5="A",Inputs_Actuals!L267,L85)</f>
        <v>1747.34</v>
      </c>
      <c r="M186" s="65" t="n">
        <f aca="false">IF(M$5="A",Inputs_Actuals!M267,M85)</f>
        <v>1722.36458333333</v>
      </c>
      <c r="N186" s="65" t="n">
        <f aca="false">IF(N$5="A",Inputs_Actuals!N267,N85)</f>
        <v>1700.83502604167</v>
      </c>
      <c r="O186" s="65" t="n">
        <f aca="false">IF(O$5="A",Inputs_Actuals!O267,O85)</f>
        <v>1701.37667154948</v>
      </c>
      <c r="P186" s="65" t="n">
        <f aca="false">IF(P$5="A",Inputs_Actuals!P267,P85)</f>
        <v>1701.63902044678</v>
      </c>
      <c r="Q186" s="65" t="n">
        <f aca="false">IF(Q$5="A",Inputs_Actuals!Q267,Q85)</f>
        <v>2025.28601828321</v>
      </c>
      <c r="R186" s="65" t="n">
        <f aca="false">IF(R$5="A",Inputs_Actuals!R267,R85)</f>
        <v>2022.04923162189</v>
      </c>
      <c r="S186" s="65" t="n">
        <f aca="false">IF(S$5="A",Inputs_Actuals!S267,S85)</f>
        <v>2018.85630937619</v>
      </c>
      <c r="T186" s="65" t="n">
        <f aca="false">IF(T$5="A",Inputs_Actuals!T267,T85)</f>
        <v>2018.93668073752</v>
      </c>
      <c r="U186" s="65" t="n">
        <f aca="false">IF(U$5="A",Inputs_Actuals!U267,U85)</f>
        <v>2018.97558762358</v>
      </c>
      <c r="V186" s="65" t="n">
        <f aca="false">IF(V$5="A",Inputs_Actuals!V267,V85)</f>
        <v>2018.97409664549</v>
      </c>
      <c r="W186" s="65" t="n">
        <f aca="false">IF(W$5="A",Inputs_Actuals!W267,W85)</f>
        <v>2018.97362894664</v>
      </c>
      <c r="X186" s="65" t="n">
        <f aca="false">IF(X$5="A",Inputs_Actuals!X267,X85)</f>
        <v>2018.9736534301</v>
      </c>
      <c r="Y186" s="65" t="n">
        <f aca="false">IF(Y$5="A",Inputs_Actuals!Y267,Y85)</f>
        <v>2018.97365897029</v>
      </c>
      <c r="Z186" s="65" t="n">
        <f aca="false">IF(Z$5="A",Inputs_Actuals!Z267,Z85)</f>
        <v>2018.973658595</v>
      </c>
      <c r="AA186" s="65" t="n">
        <f aca="false">IF(AA$5="A",Inputs_Actuals!AA267,AA85)</f>
        <v>2018.97365853043</v>
      </c>
      <c r="AB186" s="65" t="n">
        <f aca="false">IF(AB$5="A",Inputs_Actuals!AB267,AB85)</f>
        <v>2018.97365853593</v>
      </c>
    </row>
    <row r="187" customFormat="false" ht="15" hidden="false" customHeight="false" outlineLevel="0" collapsed="false">
      <c r="A187" s="28" t="s">
        <v>1239</v>
      </c>
      <c r="B187" s="63"/>
      <c r="C187" s="64" t="n">
        <f aca="false">SUM(E187:P187)</f>
        <v>56853.3654499512</v>
      </c>
      <c r="D187" s="64" t="n">
        <f aca="false">SUM(Q187:AB187)</f>
        <v>66911.7418931492</v>
      </c>
      <c r="E187" s="65" t="n">
        <f aca="false">IF(E$5="A",Inputs_Actuals!E268,E115)</f>
        <v>3548.57</v>
      </c>
      <c r="F187" s="65" t="n">
        <f aca="false">IF(F$5="A",Inputs_Actuals!F268,F115)</f>
        <v>4140</v>
      </c>
      <c r="G187" s="65" t="n">
        <f aca="false">IF(G$5="A",Inputs_Actuals!G268,G115)</f>
        <v>4140</v>
      </c>
      <c r="H187" s="65" t="n">
        <f aca="false">IF(H$5="A",Inputs_Actuals!H268,H115)</f>
        <v>4140</v>
      </c>
      <c r="I187" s="65" t="n">
        <f aca="false">IF(I$5="A",Inputs_Actuals!I268,I115)</f>
        <v>4140</v>
      </c>
      <c r="J187" s="65" t="n">
        <f aca="false">IF(J$5="A",Inputs_Actuals!J268,J115)</f>
        <v>8181.43</v>
      </c>
      <c r="K187" s="65" t="n">
        <f aca="false">IF(K$5="A",Inputs_Actuals!K268,K115)</f>
        <v>4140</v>
      </c>
      <c r="L187" s="65" t="n">
        <f aca="false">IF(L$5="A",Inputs_Actuals!L268,L115)</f>
        <v>4140</v>
      </c>
      <c r="M187" s="65" t="n">
        <f aca="false">IF(M$5="A",Inputs_Actuals!M268,M115)</f>
        <v>4088.25</v>
      </c>
      <c r="N187" s="65" t="n">
        <f aca="false">IF(N$5="A",Inputs_Actuals!N268,N115)</f>
        <v>4037.146875</v>
      </c>
      <c r="O187" s="65" t="n">
        <f aca="false">IF(O$5="A",Inputs_Actuals!O268,O115)</f>
        <v>4038.4325390625</v>
      </c>
      <c r="P187" s="65" t="n">
        <f aca="false">IF(P$5="A",Inputs_Actuals!P268,P115)</f>
        <v>8119.53603588867</v>
      </c>
      <c r="Q187" s="65" t="n">
        <f aca="false">IF(Q$5="A",Inputs_Actuals!Q268,Q115)</f>
        <v>4792.52607306282</v>
      </c>
      <c r="R187" s="65" t="n">
        <f aca="false">IF(R$5="A",Inputs_Actuals!R268,R115)</f>
        <v>4784.86671812365</v>
      </c>
      <c r="S187" s="65" t="n">
        <f aca="false">IF(S$5="A",Inputs_Actuals!S268,S115)</f>
        <v>4777.31116153874</v>
      </c>
      <c r="T187" s="65" t="n">
        <f aca="false">IF(T$5="A",Inputs_Actuals!T268,T115)</f>
        <v>4777.50134793279</v>
      </c>
      <c r="U187" s="65" t="n">
        <f aca="false">IF(U$5="A",Inputs_Actuals!U268,U115)</f>
        <v>4777.59341506018</v>
      </c>
      <c r="V187" s="65" t="n">
        <f aca="false">IF(V$5="A",Inputs_Actuals!V268,V115)</f>
        <v>9558.82132065938</v>
      </c>
      <c r="W187" s="65" t="n">
        <f aca="false">IF(W$5="A",Inputs_Actuals!W268,W115)</f>
        <v>4777.58878015418</v>
      </c>
      <c r="X187" s="65" t="n">
        <f aca="false">IF(X$5="A",Inputs_Actuals!X268,X115)</f>
        <v>4777.5888380905</v>
      </c>
      <c r="Y187" s="65" t="n">
        <f aca="false">IF(Y$5="A",Inputs_Actuals!Y268,Y115)</f>
        <v>4777.58885120051</v>
      </c>
      <c r="Z187" s="65" t="n">
        <f aca="false">IF(Z$5="A",Inputs_Actuals!Z268,Z115)</f>
        <v>4777.58885031243</v>
      </c>
      <c r="AA187" s="65" t="n">
        <f aca="false">IF(AA$5="A",Inputs_Actuals!AA268,AA115)</f>
        <v>4777.58885015966</v>
      </c>
      <c r="AB187" s="65" t="n">
        <f aca="false">IF(AB$5="A",Inputs_Actuals!AB268,AB115)</f>
        <v>9555.17768685433</v>
      </c>
    </row>
    <row r="188" customFormat="false" ht="15" hidden="false" customHeight="false" outlineLevel="0" collapsed="false">
      <c r="A188" s="28" t="s">
        <v>1240</v>
      </c>
      <c r="B188" s="63"/>
      <c r="C188" s="64" t="n">
        <f aca="false">SUM(E188:P188)</f>
        <v>238323.996192851</v>
      </c>
      <c r="D188" s="64" t="n">
        <f aca="false">SUM(Q188:AB188)</f>
        <v>280583.237671939</v>
      </c>
      <c r="E188" s="74" t="n">
        <f aca="false">E183+E185-E187-E186</f>
        <v>14645.81</v>
      </c>
      <c r="F188" s="74" t="n">
        <f aca="false">F183+F185-F187-F186</f>
        <v>17041.3</v>
      </c>
      <c r="G188" s="74" t="n">
        <f aca="false">G183+G185-G187-G186</f>
        <v>17125.89</v>
      </c>
      <c r="H188" s="74" t="n">
        <f aca="false">H183+H185-H187-H186</f>
        <v>17065.74</v>
      </c>
      <c r="I188" s="74" t="n">
        <f aca="false">I183+I185-I187-I186</f>
        <v>17149.13</v>
      </c>
      <c r="J188" s="74" t="n">
        <f aca="false">J183+J185-J187-J186</f>
        <v>35598.36</v>
      </c>
      <c r="K188" s="74" t="n">
        <f aca="false">K183+K185-K187-K186</f>
        <v>17044.9</v>
      </c>
      <c r="L188" s="74" t="n">
        <f aca="false">L183+L185-L187-L186</f>
        <v>17077.09</v>
      </c>
      <c r="M188" s="74" t="n">
        <f aca="false">M183+M185-M187-M186</f>
        <v>16901.8854166667</v>
      </c>
      <c r="N188" s="74" t="n">
        <f aca="false">N183+N185-N187-N186</f>
        <v>16690.6118489583</v>
      </c>
      <c r="O188" s="74" t="n">
        <f aca="false">O183+O185-O187-O186</f>
        <v>16695.927117513</v>
      </c>
      <c r="P188" s="74" t="n">
        <f aca="false">P183+P185-P187-P186</f>
        <v>35287.3518097127</v>
      </c>
      <c r="Q188" s="74" t="n">
        <f aca="false">Q183+Q185-Q187-Q186</f>
        <v>19807.332759003</v>
      </c>
      <c r="R188" s="74" t="n">
        <f aca="false">R183+R185-R187-R186</f>
        <v>19775.6769287192</v>
      </c>
      <c r="S188" s="74" t="n">
        <f aca="false">S183+S185-S187-S186</f>
        <v>19744.4500931892</v>
      </c>
      <c r="T188" s="74" t="n">
        <f aca="false">T183+T185-T187-T186</f>
        <v>19745.2361265119</v>
      </c>
      <c r="U188" s="74" t="n">
        <f aca="false">U183+U185-U187-U186</f>
        <v>19745.6166365394</v>
      </c>
      <c r="V188" s="74" t="n">
        <f aca="false">V183+V185-V187-V186</f>
        <v>41526.7674752473</v>
      </c>
      <c r="W188" s="74" t="n">
        <f aca="false">W183+W185-W187-W186</f>
        <v>19745.5974806446</v>
      </c>
      <c r="X188" s="74" t="n">
        <f aca="false">X183+X185-X187-X186</f>
        <v>19745.5977200933</v>
      </c>
      <c r="Y188" s="74" t="n">
        <f aca="false">Y183+Y185-Y187-Y186</f>
        <v>19745.5977742765</v>
      </c>
      <c r="Z188" s="74" t="n">
        <f aca="false">Z183+Z185-Z187-Z186</f>
        <v>19745.5977706061</v>
      </c>
      <c r="AA188" s="74" t="n">
        <f aca="false">AA183+AA185-AA187-AA186</f>
        <v>19745.5977699747</v>
      </c>
      <c r="AB188" s="74" t="n">
        <f aca="false">AB183+AB185-AB187-AB186</f>
        <v>41510.1691371338</v>
      </c>
    </row>
    <row r="189" customFormat="false" ht="15" hidden="false" customHeight="false" outlineLevel="0" collapsed="false">
      <c r="A189" s="28" t="s">
        <v>1241</v>
      </c>
      <c r="B189" s="63"/>
      <c r="C189" s="68" t="n">
        <f aca="false">P189</f>
        <v>6.90790282864198</v>
      </c>
      <c r="D189" s="68" t="n">
        <f aca="false">AB189</f>
        <v>6.90789473684211</v>
      </c>
      <c r="E189" s="80" t="n">
        <f aca="false">E22+E23</f>
        <v>7</v>
      </c>
      <c r="F189" s="80" t="n">
        <f aca="false">F22+F23</f>
        <v>7</v>
      </c>
      <c r="G189" s="80" t="n">
        <f aca="false">G22+G23</f>
        <v>7</v>
      </c>
      <c r="H189" s="80" t="n">
        <f aca="false">H22+H23</f>
        <v>7</v>
      </c>
      <c r="I189" s="80" t="n">
        <f aca="false">I22+I23</f>
        <v>7</v>
      </c>
      <c r="J189" s="80" t="n">
        <f aca="false">J22+J23</f>
        <v>7</v>
      </c>
      <c r="K189" s="80" t="n">
        <f aca="false">K22+K23</f>
        <v>7</v>
      </c>
      <c r="L189" s="80" t="n">
        <f aca="false">L22+L23</f>
        <v>7</v>
      </c>
      <c r="M189" s="80" t="n">
        <f aca="false">M22+M23</f>
        <v>6.95333333333333</v>
      </c>
      <c r="N189" s="80" t="n">
        <f aca="false">N22+N23</f>
        <v>6.90697777777778</v>
      </c>
      <c r="O189" s="80" t="n">
        <f aca="false">O22+O23</f>
        <v>6.90759792592593</v>
      </c>
      <c r="P189" s="80" t="n">
        <f aca="false">P22+P23</f>
        <v>6.90790282864198</v>
      </c>
      <c r="Q189" s="80" t="n">
        <f aca="false">Q22+Q23</f>
        <v>6.90789666163621</v>
      </c>
      <c r="R189" s="80" t="n">
        <f aca="false">R22+R23</f>
        <v>6.90789467006481</v>
      </c>
      <c r="S189" s="80" t="n">
        <f aca="false">S22+S23</f>
        <v>6.90789472445533</v>
      </c>
      <c r="T189" s="80" t="n">
        <f aca="false">T22+T23</f>
        <v>6.90789473736987</v>
      </c>
      <c r="U189" s="80" t="n">
        <f aca="false">U22+U23</f>
        <v>6.90789473692117</v>
      </c>
      <c r="V189" s="80" t="n">
        <f aca="false">V22+V23</f>
        <v>6.90789473683806</v>
      </c>
      <c r="W189" s="80" t="n">
        <f aca="false">W22+W23</f>
        <v>6.90789473684161</v>
      </c>
      <c r="X189" s="80" t="n">
        <f aca="false">X22+X23</f>
        <v>6.90789473684214</v>
      </c>
      <c r="Y189" s="80" t="n">
        <f aca="false">Y22+Y23</f>
        <v>6.90789473684211</v>
      </c>
      <c r="Z189" s="80" t="n">
        <f aca="false">Z22+Z23</f>
        <v>6.90789473684211</v>
      </c>
      <c r="AA189" s="80" t="n">
        <f aca="false">AA22+AA23</f>
        <v>6.90789473684211</v>
      </c>
      <c r="AB189" s="80" t="n">
        <f aca="false">AB22+AB23</f>
        <v>6.90789473684211</v>
      </c>
    </row>
    <row r="190" customFormat="false" ht="15" hidden="false" customHeight="false" outlineLevel="0" collapsed="false">
      <c r="A190" s="28" t="s">
        <v>1242</v>
      </c>
      <c r="B190" s="63"/>
      <c r="C190" s="64" t="n">
        <f aca="false">SUM(E190:P190)</f>
        <v>393400.580558848</v>
      </c>
      <c r="D190" s="64" t="n">
        <f aca="false">SUM(Q190:AB190)</f>
        <v>403445.732669757</v>
      </c>
      <c r="E190" s="65" t="n">
        <f aca="false">IF(E$5="A",Inputs_Actuals!E269,E56+E57)</f>
        <v>32968.42</v>
      </c>
      <c r="F190" s="65" t="n">
        <f aca="false">IF(F$5="A",Inputs_Actuals!F269,F56+F57)</f>
        <v>32977.7</v>
      </c>
      <c r="G190" s="65" t="n">
        <f aca="false">IF(G$5="A",Inputs_Actuals!G269,G56+G57)</f>
        <v>32991.46</v>
      </c>
      <c r="H190" s="65" t="n">
        <f aca="false">IF(H$5="A",Inputs_Actuals!H269,H56+H57)</f>
        <v>32865.04</v>
      </c>
      <c r="I190" s="65" t="n">
        <f aca="false">IF(I$5="A",Inputs_Actuals!I269,I56+I57)</f>
        <v>32797.55</v>
      </c>
      <c r="J190" s="65" t="n">
        <f aca="false">IF(J$5="A",Inputs_Actuals!J269,J56+J57)</f>
        <v>32870.36</v>
      </c>
      <c r="K190" s="65" t="n">
        <f aca="false">IF(K$5="A",Inputs_Actuals!K269,K56+K57)</f>
        <v>32840.26</v>
      </c>
      <c r="L190" s="65" t="n">
        <f aca="false">IF(L$5="A",Inputs_Actuals!L269,L56+L57)</f>
        <v>32947.58</v>
      </c>
      <c r="M190" s="65" t="n">
        <f aca="false">IF(M$5="A",Inputs_Actuals!M269,M56+M57)</f>
        <v>32697.2222222222</v>
      </c>
      <c r="N190" s="65" t="n">
        <f aca="false">IF(N$5="A",Inputs_Actuals!N269,N56+N57)</f>
        <v>32479.2407407407</v>
      </c>
      <c r="O190" s="65" t="n">
        <f aca="false">IF(O$5="A",Inputs_Actuals!O269,O56+O57)</f>
        <v>32482.1569135802</v>
      </c>
      <c r="P190" s="65" t="n">
        <f aca="false">IF(P$5="A",Inputs_Actuals!P269,P56+P57)</f>
        <v>32483.5906823045</v>
      </c>
      <c r="Q190" s="65" t="n">
        <f aca="false">IF(Q$5="A",Inputs_Actuals!Q269,Q56+Q57)</f>
        <v>33620.4863415884</v>
      </c>
      <c r="R190" s="65" t="n">
        <f aca="false">IF(R$5="A",Inputs_Actuals!R269,R56+R57)</f>
        <v>33620.4766486815</v>
      </c>
      <c r="S190" s="65" t="n">
        <f aca="false">IF(S$5="A",Inputs_Actuals!S269,S56+S57)</f>
        <v>33620.4769133982</v>
      </c>
      <c r="T190" s="65" t="n">
        <f aca="false">IF(T$5="A",Inputs_Actuals!T269,T56+T57)</f>
        <v>33620.4769762528</v>
      </c>
      <c r="U190" s="65" t="n">
        <f aca="false">IF(U$5="A",Inputs_Actuals!U269,U56+U57)</f>
        <v>33620.476974069</v>
      </c>
      <c r="V190" s="65" t="n">
        <f aca="false">IF(V$5="A",Inputs_Actuals!V269,V56+V57)</f>
        <v>33620.4769736645</v>
      </c>
      <c r="W190" s="65" t="n">
        <f aca="false">IF(W$5="A",Inputs_Actuals!W269,W56+W57)</f>
        <v>33620.4769736818</v>
      </c>
      <c r="X190" s="65" t="n">
        <f aca="false">IF(X$5="A",Inputs_Actuals!X269,X56+X57)</f>
        <v>33620.4769736844</v>
      </c>
      <c r="Y190" s="65" t="n">
        <f aca="false">IF(Y$5="A",Inputs_Actuals!Y269,Y56+Y57)</f>
        <v>33620.4769736842</v>
      </c>
      <c r="Z190" s="65" t="n">
        <f aca="false">IF(Z$5="A",Inputs_Actuals!Z269,Z56+Z57)</f>
        <v>33620.4769736842</v>
      </c>
      <c r="AA190" s="65" t="n">
        <f aca="false">IF(AA$5="A",Inputs_Actuals!AA269,AA56+AA57)</f>
        <v>33620.4769736842</v>
      </c>
      <c r="AB190" s="65" t="n">
        <f aca="false">IF(AB$5="A",Inputs_Actuals!AB269,AB56+AB57)</f>
        <v>33620.4769736842</v>
      </c>
    </row>
    <row r="191" customFormat="false" ht="15" hidden="false" customHeight="false" outlineLevel="0" collapsed="false">
      <c r="A191" s="28" t="s">
        <v>1243</v>
      </c>
      <c r="B191" s="63"/>
      <c r="C191" s="64" t="n">
        <f aca="false">SUM(E191:P191)</f>
        <v>99447.2739727192</v>
      </c>
      <c r="D191" s="64" t="n">
        <f aca="false">SUM(Q191:AB191)</f>
        <v>102439.433696006</v>
      </c>
      <c r="E191" s="65" t="n">
        <f aca="false">IF(E$5="A",Inputs_Actuals!E273,E71+E72)</f>
        <v>8311.41</v>
      </c>
      <c r="F191" s="65" t="n">
        <f aca="false">IF(F$5="A",Inputs_Actuals!F273,F71+F72)</f>
        <v>8341.97</v>
      </c>
      <c r="G191" s="65" t="n">
        <f aca="false">IF(G$5="A",Inputs_Actuals!G273,G71+G72)</f>
        <v>8297.45</v>
      </c>
      <c r="H191" s="65" t="n">
        <f aca="false">IF(H$5="A",Inputs_Actuals!H273,H71+H72)</f>
        <v>8331.36</v>
      </c>
      <c r="I191" s="65" t="n">
        <f aca="false">IF(I$5="A",Inputs_Actuals!I273,I71+I72)</f>
        <v>8332</v>
      </c>
      <c r="J191" s="65" t="n">
        <f aca="false">IF(J$5="A",Inputs_Actuals!J273,J71+J72)</f>
        <v>8304.2</v>
      </c>
      <c r="K191" s="65" t="n">
        <f aca="false">IF(K$5="A",Inputs_Actuals!K273,K71+K72)</f>
        <v>8314.46</v>
      </c>
      <c r="L191" s="65" t="n">
        <f aca="false">IF(L$5="A",Inputs_Actuals!L273,L71+L72)</f>
        <v>8337.29</v>
      </c>
      <c r="M191" s="65" t="n">
        <f aca="false">IF(M$5="A",Inputs_Actuals!M273,M71+M72)</f>
        <v>8260.12521932444</v>
      </c>
      <c r="N191" s="65" t="n">
        <f aca="false">IF(N$5="A",Inputs_Actuals!N273,N71+N72)</f>
        <v>8205.05771786228</v>
      </c>
      <c r="O191" s="65" t="n">
        <f aca="false">IF(O$5="A",Inputs_Actuals!O273,O71+O72)</f>
        <v>8205.79441508542</v>
      </c>
      <c r="P191" s="65" t="n">
        <f aca="false">IF(P$5="A",Inputs_Actuals!P273,P71+P72)</f>
        <v>8206.15662044702</v>
      </c>
      <c r="Q191" s="65" t="n">
        <f aca="false">IF(Q$5="A",Inputs_Actuals!Q273,Q71+Q72)</f>
        <v>8536.62166315628</v>
      </c>
      <c r="R191" s="65" t="n">
        <f aca="false">IF(R$5="A",Inputs_Actuals!R273,R71+R72)</f>
        <v>8536.61920201762</v>
      </c>
      <c r="S191" s="65" t="n">
        <f aca="false">IF(S$5="A",Inputs_Actuals!S273,S71+S72)</f>
        <v>8536.61926923218</v>
      </c>
      <c r="T191" s="65" t="n">
        <f aca="false">IF(T$5="A",Inputs_Actuals!T273,T71+T72)</f>
        <v>8536.61928519167</v>
      </c>
      <c r="U191" s="65" t="n">
        <f aca="false">IF(U$5="A",Inputs_Actuals!U273,U71+U72)</f>
        <v>8536.61928463717</v>
      </c>
      <c r="V191" s="65" t="n">
        <f aca="false">IF(V$5="A",Inputs_Actuals!V273,V71+V72)</f>
        <v>8536.61928453447</v>
      </c>
      <c r="W191" s="65" t="n">
        <f aca="false">IF(W$5="A",Inputs_Actuals!W273,W71+W72)</f>
        <v>8536.61928453886</v>
      </c>
      <c r="X191" s="65" t="n">
        <f aca="false">IF(X$5="A",Inputs_Actuals!X273,X71+X72)</f>
        <v>8536.61928453951</v>
      </c>
      <c r="Y191" s="65" t="n">
        <f aca="false">IF(Y$5="A",Inputs_Actuals!Y273,Y71+Y72)</f>
        <v>8536.61928453948</v>
      </c>
      <c r="Z191" s="65" t="n">
        <f aca="false">IF(Z$5="A",Inputs_Actuals!Z273,Z71+Z72)</f>
        <v>8536.61928453947</v>
      </c>
      <c r="AA191" s="65" t="n">
        <f aca="false">IF(AA$5="A",Inputs_Actuals!AA273,AA71+AA72)</f>
        <v>8536.61928453947</v>
      </c>
      <c r="AB191" s="65" t="n">
        <f aca="false">IF(AB$5="A",Inputs_Actuals!AB273,AB71+AB72)</f>
        <v>8536.61928453947</v>
      </c>
    </row>
    <row r="192" customFormat="false" ht="15" hidden="false" customHeight="false" outlineLevel="0" collapsed="false">
      <c r="A192" s="59" t="s">
        <v>1244</v>
      </c>
      <c r="B192" s="60" t="s">
        <v>1173</v>
      </c>
      <c r="C192" s="61" t="n">
        <f aca="false">SUM(E192:P192)</f>
        <v>492847.854531567</v>
      </c>
      <c r="D192" s="61" t="n">
        <f aca="false">SUM(Q192:AB192)</f>
        <v>505885.166365763</v>
      </c>
      <c r="E192" s="61" t="n">
        <f aca="false">E190+E191</f>
        <v>41279.83</v>
      </c>
      <c r="F192" s="61" t="n">
        <f aca="false">F190+F191</f>
        <v>41319.67</v>
      </c>
      <c r="G192" s="61" t="n">
        <f aca="false">G190+G191</f>
        <v>41288.91</v>
      </c>
      <c r="H192" s="61" t="n">
        <f aca="false">H190+H191</f>
        <v>41196.4</v>
      </c>
      <c r="I192" s="61" t="n">
        <f aca="false">I190+I191</f>
        <v>41129.55</v>
      </c>
      <c r="J192" s="61" t="n">
        <f aca="false">J190+J191</f>
        <v>41174.56</v>
      </c>
      <c r="K192" s="61" t="n">
        <f aca="false">K190+K191</f>
        <v>41154.72</v>
      </c>
      <c r="L192" s="61" t="n">
        <f aca="false">L190+L191</f>
        <v>41284.87</v>
      </c>
      <c r="M192" s="61" t="n">
        <f aca="false">M190+M191</f>
        <v>40957.3474415467</v>
      </c>
      <c r="N192" s="61" t="n">
        <f aca="false">N190+N191</f>
        <v>40684.298458603</v>
      </c>
      <c r="O192" s="61" t="n">
        <f aca="false">O190+O191</f>
        <v>40687.9513286657</v>
      </c>
      <c r="P192" s="61" t="n">
        <f aca="false">P190+P191</f>
        <v>40689.7473027515</v>
      </c>
      <c r="Q192" s="61" t="n">
        <f aca="false">Q190+Q191</f>
        <v>42157.1080047447</v>
      </c>
      <c r="R192" s="61" t="n">
        <f aca="false">R190+R191</f>
        <v>42157.0958506991</v>
      </c>
      <c r="S192" s="61" t="n">
        <f aca="false">S190+S191</f>
        <v>42157.0961826304</v>
      </c>
      <c r="T192" s="61" t="n">
        <f aca="false">T190+T191</f>
        <v>42157.0962614445</v>
      </c>
      <c r="U192" s="61" t="n">
        <f aca="false">U190+U191</f>
        <v>42157.0962587062</v>
      </c>
      <c r="V192" s="61" t="n">
        <f aca="false">V190+V191</f>
        <v>42157.096258199</v>
      </c>
      <c r="W192" s="61" t="n">
        <f aca="false">W190+W191</f>
        <v>42157.0962582206</v>
      </c>
      <c r="X192" s="61" t="n">
        <f aca="false">X190+X191</f>
        <v>42157.0962582239</v>
      </c>
      <c r="Y192" s="61" t="n">
        <f aca="false">Y190+Y191</f>
        <v>42157.0962582237</v>
      </c>
      <c r="Z192" s="61" t="n">
        <f aca="false">Z190+Z191</f>
        <v>42157.0962582237</v>
      </c>
      <c r="AA192" s="61" t="n">
        <f aca="false">AA190+AA191</f>
        <v>42157.0962582237</v>
      </c>
      <c r="AB192" s="61" t="n">
        <f aca="false">AB190+AB191</f>
        <v>42157.0962582237</v>
      </c>
    </row>
    <row r="193" customFormat="false" ht="15" hidden="false" customHeight="false" outlineLevel="0" collapsed="false">
      <c r="A193" s="28" t="s">
        <v>1245</v>
      </c>
      <c r="B193" s="63"/>
      <c r="C193" s="64" t="n">
        <f aca="false">SUM(E193:P193)</f>
        <v>337189.796193298</v>
      </c>
      <c r="D193" s="64" t="n">
        <f aca="false">SUM(Q193:AB193)</f>
        <v>345810.628002649</v>
      </c>
      <c r="E193" s="65" t="n">
        <f aca="false">IF(E$5="A",Inputs_Actuals!E271,E22*Assumptions!$D$89*IF(Assumptions!E$191=2027,1+Assumptions!$F$175,1)/14+E23*Assumptions!$D$90*IF(Assumptions!E$191=2027,1+Assumptions!$F$175,1)/14)</f>
        <v>28266.04</v>
      </c>
      <c r="F193" s="65" t="n">
        <f aca="false">IF(F$5="A",Inputs_Actuals!F271,F22*Assumptions!$D$89*IF(Assumptions!F$191=2027,1+Assumptions!$F$175,1)/14+F23*Assumptions!$D$90*IF(Assumptions!F$191=2027,1+Assumptions!$F$175,1)/14)</f>
        <v>28275.32</v>
      </c>
      <c r="G193" s="65" t="n">
        <f aca="false">IF(G$5="A",Inputs_Actuals!G271,G22*Assumptions!$D$89*IF(Assumptions!G$191=2027,1+Assumptions!$F$175,1)/14+G23*Assumptions!$D$90*IF(Assumptions!G$191=2027,1+Assumptions!$F$175,1)/14)</f>
        <v>28289.08</v>
      </c>
      <c r="H193" s="65" t="n">
        <f aca="false">IF(H$5="A",Inputs_Actuals!H271,H22*Assumptions!$D$89*IF(Assumptions!H$191=2027,1+Assumptions!$F$175,1)/14+H23*Assumptions!$D$90*IF(Assumptions!H$191=2027,1+Assumptions!$F$175,1)/14)</f>
        <v>28162.66</v>
      </c>
      <c r="I193" s="65" t="n">
        <f aca="false">IF(I$5="A",Inputs_Actuals!I271,I22*Assumptions!$D$89*IF(Assumptions!I$191=2027,1+Assumptions!$F$175,1)/14+I23*Assumptions!$D$90*IF(Assumptions!I$191=2027,1+Assumptions!$F$175,1)/14)</f>
        <v>28095.17</v>
      </c>
      <c r="J193" s="65" t="n">
        <f aca="false">IF(J$5="A",Inputs_Actuals!J271,J22*Assumptions!$D$89*IF(Assumptions!J$191=2027,1+Assumptions!$F$175,1)/14+J23*Assumptions!$D$90*IF(Assumptions!J$191=2027,1+Assumptions!$F$175,1)/14)</f>
        <v>28167.98</v>
      </c>
      <c r="K193" s="65" t="n">
        <f aca="false">IF(K$5="A",Inputs_Actuals!K271,K22*Assumptions!$D$89*IF(Assumptions!K$191=2027,1+Assumptions!$F$175,1)/14+K23*Assumptions!$D$90*IF(Assumptions!K$191=2027,1+Assumptions!$F$175,1)/14)</f>
        <v>28137.88</v>
      </c>
      <c r="L193" s="65" t="n">
        <f aca="false">IF(L$5="A",Inputs_Actuals!L271,L22*Assumptions!$D$89*IF(Assumptions!L$191=2027,1+Assumptions!$F$175,1)/14+L23*Assumptions!$D$90*IF(Assumptions!L$191=2027,1+Assumptions!$F$175,1)/14)</f>
        <v>28245.2</v>
      </c>
      <c r="M193" s="65" t="n">
        <f aca="false">IF(M$5="A",Inputs_Actuals!M271,M22*Assumptions!$D$89*IF(Assumptions!M$191=2027,1+Assumptions!$F$175,1)/14+M23*Assumptions!$D$90*IF(Assumptions!M$191=2027,1+Assumptions!$F$175,1)/14)</f>
        <v>28026.1904761905</v>
      </c>
      <c r="N193" s="65" t="n">
        <f aca="false">IF(N$5="A",Inputs_Actuals!N271,N22*Assumptions!$D$89*IF(Assumptions!N$191=2027,1+Assumptions!$F$175,1)/14+N23*Assumptions!$D$90*IF(Assumptions!N$191=2027,1+Assumptions!$F$175,1)/14)</f>
        <v>27839.3492063492</v>
      </c>
      <c r="O193" s="65" t="n">
        <f aca="false">IF(O$5="A",Inputs_Actuals!O271,O22*Assumptions!$D$89*IF(Assumptions!O$191=2027,1+Assumptions!$F$175,1)/14+O23*Assumptions!$D$90*IF(Assumptions!O$191=2027,1+Assumptions!$F$175,1)/14)</f>
        <v>27841.8487830688</v>
      </c>
      <c r="P193" s="65" t="n">
        <f aca="false">IF(P$5="A",Inputs_Actuals!P271,P22*Assumptions!$D$89*IF(Assumptions!P$191=2027,1+Assumptions!$F$175,1)/14+P23*Assumptions!$D$90*IF(Assumptions!P$191=2027,1+Assumptions!$F$175,1)/14)</f>
        <v>27843.0777276896</v>
      </c>
      <c r="Q193" s="65" t="n">
        <f aca="false">IF(Q$5="A",Inputs_Actuals!Q271,Q22*Assumptions!$D$89*IF(Assumptions!Q$191=2027,1+Assumptions!$F$175,1)/14+Q23*Assumptions!$D$90*IF(Assumptions!Q$191=2027,1+Assumptions!$F$175,1)/14)</f>
        <v>28817.5597213615</v>
      </c>
      <c r="R193" s="65" t="n">
        <f aca="false">IF(R$5="A",Inputs_Actuals!R271,R22*Assumptions!$D$89*IF(Assumptions!R$191=2027,1+Assumptions!$F$175,1)/14+R23*Assumptions!$D$90*IF(Assumptions!R$191=2027,1+Assumptions!$F$175,1)/14)</f>
        <v>28817.5514131556</v>
      </c>
      <c r="S193" s="65" t="n">
        <f aca="false">IF(S$5="A",Inputs_Actuals!S271,S22*Assumptions!$D$89*IF(Assumptions!S$191=2027,1+Assumptions!$F$175,1)/14+S23*Assumptions!$D$90*IF(Assumptions!S$191=2027,1+Assumptions!$F$175,1)/14)</f>
        <v>28817.5516400556</v>
      </c>
      <c r="T193" s="65" t="n">
        <f aca="false">IF(T$5="A",Inputs_Actuals!T271,T22*Assumptions!$D$89*IF(Assumptions!T$191=2027,1+Assumptions!$F$175,1)/14+T23*Assumptions!$D$90*IF(Assumptions!T$191=2027,1+Assumptions!$F$175,1)/14)</f>
        <v>28817.551693931</v>
      </c>
      <c r="U193" s="65" t="n">
        <f aca="false">IF(U$5="A",Inputs_Actuals!U271,U22*Assumptions!$D$89*IF(Assumptions!U$191=2027,1+Assumptions!$F$175,1)/14+U23*Assumptions!$D$90*IF(Assumptions!U$191=2027,1+Assumptions!$F$175,1)/14)</f>
        <v>28817.5516920591</v>
      </c>
      <c r="V193" s="65" t="n">
        <f aca="false">IF(V$5="A",Inputs_Actuals!V271,V22*Assumptions!$D$89*IF(Assumptions!V$191=2027,1+Assumptions!$F$175,1)/14+V23*Assumptions!$D$90*IF(Assumptions!V$191=2027,1+Assumptions!$F$175,1)/14)</f>
        <v>28817.5516917124</v>
      </c>
      <c r="W193" s="65" t="n">
        <f aca="false">IF(W$5="A",Inputs_Actuals!W271,W22*Assumptions!$D$89*IF(Assumptions!W$191=2027,1+Assumptions!$F$175,1)/14+W23*Assumptions!$D$90*IF(Assumptions!W$191=2027,1+Assumptions!$F$175,1)/14)</f>
        <v>28817.5516917272</v>
      </c>
      <c r="X193" s="65" t="n">
        <f aca="false">IF(X$5="A",Inputs_Actuals!X271,X22*Assumptions!$D$89*IF(Assumptions!X$191=2027,1+Assumptions!$F$175,1)/14+X23*Assumptions!$D$90*IF(Assumptions!X$191=2027,1+Assumptions!$F$175,1)/14)</f>
        <v>28817.5516917294</v>
      </c>
      <c r="Y193" s="65" t="n">
        <f aca="false">IF(Y$5="A",Inputs_Actuals!Y271,Y22*Assumptions!$D$89*IF(Assumptions!Y$191=2027,1+Assumptions!$F$175,1)/14+Y23*Assumptions!$D$90*IF(Assumptions!Y$191=2027,1+Assumptions!$F$175,1)/14)</f>
        <v>28817.5516917293</v>
      </c>
      <c r="Z193" s="65" t="n">
        <f aca="false">IF(Z$5="A",Inputs_Actuals!Z271,Z22*Assumptions!$D$89*IF(Assumptions!Z$191=2027,1+Assumptions!$F$175,1)/14+Z23*Assumptions!$D$90*IF(Assumptions!Z$191=2027,1+Assumptions!$F$175,1)/14)</f>
        <v>28817.5516917293</v>
      </c>
      <c r="AA193" s="65" t="n">
        <f aca="false">IF(AA$5="A",Inputs_Actuals!AA271,AA22*Assumptions!$D$89*IF(Assumptions!AA$191=2027,1+Assumptions!$F$175,1)/14+AA23*Assumptions!$D$90*IF(Assumptions!AA$191=2027,1+Assumptions!$F$175,1)/14)</f>
        <v>28817.5516917293</v>
      </c>
      <c r="AB193" s="65" t="n">
        <f aca="false">IF(AB$5="A",Inputs_Actuals!AB271,AB22*Assumptions!$D$89*IF(Assumptions!AB$191=2027,1+Assumptions!$F$175,1)/14+AB23*Assumptions!$D$90*IF(Assumptions!AB$191=2027,1+Assumptions!$F$175,1)/14)</f>
        <v>28817.5516917293</v>
      </c>
    </row>
    <row r="194" customFormat="false" ht="15" hidden="false" customHeight="false" outlineLevel="0" collapsed="false">
      <c r="A194" s="28" t="s">
        <v>1246</v>
      </c>
      <c r="B194" s="63"/>
      <c r="C194" s="64" t="n">
        <f aca="false">SUM(E194:P194)</f>
        <v>56210.7843655497</v>
      </c>
      <c r="D194" s="64" t="n">
        <f aca="false">SUM(Q194:AB194)</f>
        <v>57635.1046671082</v>
      </c>
      <c r="E194" s="65" t="n">
        <f aca="false">IF(E$5="A",Inputs_Actuals!E270,E101+E102)</f>
        <v>4702.38</v>
      </c>
      <c r="F194" s="65" t="n">
        <f aca="false">IF(F$5="A",Inputs_Actuals!F270,F101+F102)</f>
        <v>4702.38</v>
      </c>
      <c r="G194" s="65" t="n">
        <f aca="false">IF(G$5="A",Inputs_Actuals!G270,G101+G102)</f>
        <v>4702.38</v>
      </c>
      <c r="H194" s="65" t="n">
        <f aca="false">IF(H$5="A",Inputs_Actuals!H270,H101+H102)</f>
        <v>4702.38</v>
      </c>
      <c r="I194" s="65" t="n">
        <f aca="false">IF(I$5="A",Inputs_Actuals!I270,I101+I102)</f>
        <v>4702.38</v>
      </c>
      <c r="J194" s="65" t="n">
        <f aca="false">IF(J$5="A",Inputs_Actuals!J270,J101+J102)</f>
        <v>4702.38</v>
      </c>
      <c r="K194" s="65" t="n">
        <f aca="false">IF(K$5="A",Inputs_Actuals!K270,K101+K102)</f>
        <v>4702.38</v>
      </c>
      <c r="L194" s="65" t="n">
        <f aca="false">IF(L$5="A",Inputs_Actuals!L270,L101+L102)</f>
        <v>4702.38</v>
      </c>
      <c r="M194" s="65" t="n">
        <f aca="false">IF(M$5="A",Inputs_Actuals!M270,M101+M102)</f>
        <v>4671.03174603175</v>
      </c>
      <c r="N194" s="65" t="n">
        <f aca="false">IF(N$5="A",Inputs_Actuals!N270,N101+N102)</f>
        <v>4639.89153439153</v>
      </c>
      <c r="O194" s="65" t="n">
        <f aca="false">IF(O$5="A",Inputs_Actuals!O270,O101+O102)</f>
        <v>4640.30813051146</v>
      </c>
      <c r="P194" s="65" t="n">
        <f aca="false">IF(P$5="A",Inputs_Actuals!P270,P101+P102)</f>
        <v>4640.51295461493</v>
      </c>
      <c r="Q194" s="65" t="n">
        <f aca="false">IF(Q$5="A",Inputs_Actuals!Q270,Q101+Q102)</f>
        <v>4802.92662022691</v>
      </c>
      <c r="R194" s="65" t="n">
        <f aca="false">IF(R$5="A",Inputs_Actuals!R270,R101+R102)</f>
        <v>4802.92523552593</v>
      </c>
      <c r="S194" s="65" t="n">
        <f aca="false">IF(S$5="A",Inputs_Actuals!S270,S101+S102)</f>
        <v>4802.9252733426</v>
      </c>
      <c r="T194" s="65" t="n">
        <f aca="false">IF(T$5="A",Inputs_Actuals!T270,T101+T102)</f>
        <v>4802.92528232183</v>
      </c>
      <c r="U194" s="65" t="n">
        <f aca="false">IF(U$5="A",Inputs_Actuals!U270,U101+U102)</f>
        <v>4802.92528200986</v>
      </c>
      <c r="V194" s="65" t="n">
        <f aca="false">IF(V$5="A",Inputs_Actuals!V270,V101+V102)</f>
        <v>4802.92528195207</v>
      </c>
      <c r="W194" s="65" t="n">
        <f aca="false">IF(W$5="A",Inputs_Actuals!W270,W101+W102)</f>
        <v>4802.92528195454</v>
      </c>
      <c r="X194" s="65" t="n">
        <f aca="false">IF(X$5="A",Inputs_Actuals!X270,X101+X102)</f>
        <v>4802.92528195491</v>
      </c>
      <c r="Y194" s="65" t="n">
        <f aca="false">IF(Y$5="A",Inputs_Actuals!Y270,Y101+Y102)</f>
        <v>4802.92528195489</v>
      </c>
      <c r="Z194" s="65" t="n">
        <f aca="false">IF(Z$5="A",Inputs_Actuals!Z270,Z101+Z102)</f>
        <v>4802.92528195489</v>
      </c>
      <c r="AA194" s="65" t="n">
        <f aca="false">IF(AA$5="A",Inputs_Actuals!AA270,AA101+AA102)</f>
        <v>4802.92528195489</v>
      </c>
      <c r="AB194" s="65" t="n">
        <f aca="false">IF(AB$5="A",Inputs_Actuals!AB270,AB101+AB102)</f>
        <v>4802.92528195489</v>
      </c>
    </row>
    <row r="195" customFormat="false" ht="15" hidden="false" customHeight="false" outlineLevel="0" collapsed="false">
      <c r="A195" s="28" t="s">
        <v>1247</v>
      </c>
      <c r="B195" s="63" t="s">
        <v>1177</v>
      </c>
      <c r="C195" s="64" t="n">
        <f aca="false">SUM(E195:P195)</f>
        <v>56210.7843655497</v>
      </c>
      <c r="D195" s="64" t="n">
        <f aca="false">SUM(Q195:AB195)</f>
        <v>57635.1046671082</v>
      </c>
      <c r="E195" s="65" t="n">
        <f aca="false">IF(E$5="A",Inputs_Actuals!E272,IF(Assumptions!E$211=1,SUM(E194:E194),0))</f>
        <v>0</v>
      </c>
      <c r="F195" s="65" t="n">
        <f aca="false">IF(F$5="A",Inputs_Actuals!F272,IF(Assumptions!F$211=1,SUM(E194:F194),0))</f>
        <v>0</v>
      </c>
      <c r="G195" s="65" t="n">
        <f aca="false">IF(G$5="A",Inputs_Actuals!G272,IF(Assumptions!G$211=1,SUM(E194:G194),0))</f>
        <v>0</v>
      </c>
      <c r="H195" s="65" t="n">
        <f aca="false">IF(H$5="A",Inputs_Actuals!H272,IF(Assumptions!H$211=1,SUM(E194:H194),0))</f>
        <v>0</v>
      </c>
      <c r="I195" s="65" t="n">
        <f aca="false">IF(I$5="A",Inputs_Actuals!I272,IF(Assumptions!I$211=1,SUM(E194:I194),0))</f>
        <v>0</v>
      </c>
      <c r="J195" s="65" t="n">
        <f aca="false">IF(J$5="A",Inputs_Actuals!J272,IF(Assumptions!J$211=1,SUM(E194:J194),0))</f>
        <v>28214.28</v>
      </c>
      <c r="K195" s="65" t="n">
        <f aca="false">IF(K$5="A",Inputs_Actuals!K272,IF(Assumptions!K$211=1,SUM(F194:K194),0))</f>
        <v>0</v>
      </c>
      <c r="L195" s="65" t="n">
        <f aca="false">IF(L$5="A",Inputs_Actuals!L272,IF(Assumptions!L$211=1,SUM(G194:L194),0))</f>
        <v>0</v>
      </c>
      <c r="M195" s="65" t="n">
        <f aca="false">IF(M$5="A",Inputs_Actuals!M272,IF(Assumptions!M$211=1,SUM(H194:M194),0))</f>
        <v>0</v>
      </c>
      <c r="N195" s="65" t="n">
        <f aca="false">IF(N$5="A",Inputs_Actuals!N272,IF(Assumptions!N$211=1,SUM(I194:N194),0))</f>
        <v>0</v>
      </c>
      <c r="O195" s="65" t="n">
        <f aca="false">IF(O$5="A",Inputs_Actuals!O272,IF(Assumptions!O$211=1,SUM(J194:O194),0))</f>
        <v>0</v>
      </c>
      <c r="P195" s="65" t="n">
        <f aca="false">IF(P$5="A",Inputs_Actuals!P272,IF(Assumptions!P$211=1,SUM(K194:P194),0))</f>
        <v>27996.5043655497</v>
      </c>
      <c r="Q195" s="65" t="n">
        <f aca="false">IF(Q$5="A",Inputs_Actuals!Q272,IF(Assumptions!Q$211=1,SUM(L194:Q194),0))</f>
        <v>0</v>
      </c>
      <c r="R195" s="65" t="n">
        <f aca="false">IF(R$5="A",Inputs_Actuals!R272,IF(Assumptions!R$211=1,SUM(M194:R194),0))</f>
        <v>0</v>
      </c>
      <c r="S195" s="65" t="n">
        <f aca="false">IF(S$5="A",Inputs_Actuals!S272,IF(Assumptions!S$211=1,SUM(N194:S194),0))</f>
        <v>0</v>
      </c>
      <c r="T195" s="65" t="n">
        <f aca="false">IF(T$5="A",Inputs_Actuals!T272,IF(Assumptions!T$211=1,SUM(O194:T194),0))</f>
        <v>0</v>
      </c>
      <c r="U195" s="65" t="n">
        <f aca="false">IF(U$5="A",Inputs_Actuals!U272,IF(Assumptions!U$211=1,SUM(P194:U194),0))</f>
        <v>0</v>
      </c>
      <c r="V195" s="65" t="n">
        <f aca="false">IF(V$5="A",Inputs_Actuals!V272,IF(Assumptions!V$211=1,SUM(Q194:V194),0))</f>
        <v>28817.5529753792</v>
      </c>
      <c r="W195" s="65" t="n">
        <f aca="false">IF(W$5="A",Inputs_Actuals!W272,IF(Assumptions!W$211=1,SUM(R194:W194),0))</f>
        <v>0</v>
      </c>
      <c r="X195" s="65" t="n">
        <f aca="false">IF(X$5="A",Inputs_Actuals!X272,IF(Assumptions!X$211=1,SUM(S194:X194),0))</f>
        <v>0</v>
      </c>
      <c r="Y195" s="65" t="n">
        <f aca="false">IF(Y$5="A",Inputs_Actuals!Y272,IF(Assumptions!Y$211=1,SUM(T194:Y194),0))</f>
        <v>0</v>
      </c>
      <c r="Z195" s="65" t="n">
        <f aca="false">IF(Z$5="A",Inputs_Actuals!Z272,IF(Assumptions!Z$211=1,SUM(U194:Z194),0))</f>
        <v>0</v>
      </c>
      <c r="AA195" s="65" t="n">
        <f aca="false">IF(AA$5="A",Inputs_Actuals!AA272,IF(Assumptions!AA$211=1,SUM(V194:AA194),0))</f>
        <v>0</v>
      </c>
      <c r="AB195" s="65" t="n">
        <f aca="false">IF(AB$5="A",Inputs_Actuals!AB272,IF(Assumptions!AB$211=1,SUM(W194:AB194),0))</f>
        <v>28817.551691729</v>
      </c>
    </row>
    <row r="196" customFormat="false" ht="15" hidden="false" customHeight="false" outlineLevel="0" collapsed="false">
      <c r="A196" s="28" t="s">
        <v>1248</v>
      </c>
      <c r="B196" s="63"/>
      <c r="C196" s="64" t="n">
        <f aca="false">SUM(E196:P196)</f>
        <v>20087.0143089094</v>
      </c>
      <c r="D196" s="64" t="n">
        <f aca="false">SUM(Q196:AB196)</f>
        <v>20719.8969746316</v>
      </c>
      <c r="E196" s="65" t="n">
        <f aca="false">IF(E$5="A",Inputs_Actuals!E274,E86+E87)</f>
        <v>1680.26</v>
      </c>
      <c r="F196" s="65" t="n">
        <f aca="false">IF(F$5="A",Inputs_Actuals!F274,F86+F87)</f>
        <v>1682.44</v>
      </c>
      <c r="G196" s="65" t="n">
        <f aca="false">IF(G$5="A",Inputs_Actuals!G274,G86+G87)</f>
        <v>1676.42</v>
      </c>
      <c r="H196" s="65" t="n">
        <f aca="false">IF(H$5="A",Inputs_Actuals!H274,H86+H87)</f>
        <v>1677.23</v>
      </c>
      <c r="I196" s="65" t="n">
        <f aca="false">IF(I$5="A",Inputs_Actuals!I274,I86+I87)</f>
        <v>1679.91</v>
      </c>
      <c r="J196" s="65" t="n">
        <f aca="false">IF(J$5="A",Inputs_Actuals!J274,J86+J87)</f>
        <v>1676.63</v>
      </c>
      <c r="K196" s="65" t="n">
        <f aca="false">IF(K$5="A",Inputs_Actuals!K274,K86+K87)</f>
        <v>1683.72</v>
      </c>
      <c r="L196" s="65" t="n">
        <f aca="false">IF(L$5="A",Inputs_Actuals!L274,L86+L87)</f>
        <v>1684.18</v>
      </c>
      <c r="M196" s="65" t="n">
        <f aca="false">IF(M$5="A",Inputs_Actuals!M274,M86+M87)</f>
        <v>1669.81237089778</v>
      </c>
      <c r="N196" s="65" t="n">
        <f aca="false">IF(N$5="A",Inputs_Actuals!N274,N86+N87)</f>
        <v>1658.68028842513</v>
      </c>
      <c r="O196" s="65" t="n">
        <f aca="false">IF(O$5="A",Inputs_Actuals!O274,O86+O87)</f>
        <v>1658.82921427118</v>
      </c>
      <c r="P196" s="65" t="n">
        <f aca="false">IF(P$5="A",Inputs_Actuals!P274,P86+P87)</f>
        <v>1658.90243531536</v>
      </c>
      <c r="Q196" s="65" t="n">
        <f aca="false">IF(Q$5="A",Inputs_Actuals!Q274,Q86+Q87)</f>
        <v>1726.65852387374</v>
      </c>
      <c r="R196" s="65" t="n">
        <f aca="false">IF(R$5="A",Inputs_Actuals!R274,R86+R87)</f>
        <v>1726.65802607189</v>
      </c>
      <c r="S196" s="65" t="n">
        <f aca="false">IF(S$5="A",Inputs_Actuals!S274,S86+S87)</f>
        <v>1726.65803966703</v>
      </c>
      <c r="T196" s="65" t="n">
        <f aca="false">IF(T$5="A",Inputs_Actuals!T274,T86+T87)</f>
        <v>1726.65804289507</v>
      </c>
      <c r="U196" s="65" t="n">
        <f aca="false">IF(U$5="A",Inputs_Actuals!U274,U86+U87)</f>
        <v>1726.65804278292</v>
      </c>
      <c r="V196" s="65" t="n">
        <f aca="false">IF(V$5="A",Inputs_Actuals!V274,V86+V87)</f>
        <v>1726.65804276215</v>
      </c>
      <c r="W196" s="65" t="n">
        <f aca="false">IF(W$5="A",Inputs_Actuals!W274,W86+W87)</f>
        <v>1726.65804276303</v>
      </c>
      <c r="X196" s="65" t="n">
        <f aca="false">IF(X$5="A",Inputs_Actuals!X274,X86+X87)</f>
        <v>1726.65804276317</v>
      </c>
      <c r="Y196" s="65" t="n">
        <f aca="false">IF(Y$5="A",Inputs_Actuals!Y274,Y86+Y87)</f>
        <v>1726.65804276316</v>
      </c>
      <c r="Z196" s="65" t="n">
        <f aca="false">IF(Z$5="A",Inputs_Actuals!Z274,Z86+Z87)</f>
        <v>1726.65804276316</v>
      </c>
      <c r="AA196" s="65" t="n">
        <f aca="false">IF(AA$5="A",Inputs_Actuals!AA274,AA86+AA87)</f>
        <v>1726.65804276316</v>
      </c>
      <c r="AB196" s="65" t="n">
        <f aca="false">IF(AB$5="A",Inputs_Actuals!AB274,AB86+AB87)</f>
        <v>1726.65804276316</v>
      </c>
    </row>
    <row r="197" customFormat="false" ht="15" hidden="false" customHeight="false" outlineLevel="0" collapsed="false">
      <c r="A197" s="28" t="s">
        <v>1249</v>
      </c>
      <c r="B197" s="63"/>
      <c r="C197" s="64" t="n">
        <f aca="false">SUM(E197:P197)</f>
        <v>96675.431209097</v>
      </c>
      <c r="D197" s="64" t="n">
        <f aca="false">SUM(Q197:AB197)</f>
        <v>99125.0844445568</v>
      </c>
      <c r="E197" s="65" t="n">
        <f aca="false">IF(E$5="A",Inputs_Actuals!E275,E116+E117)</f>
        <v>6932.14</v>
      </c>
      <c r="F197" s="65" t="n">
        <f aca="false">IF(F$5="A",Inputs_Actuals!F275,F116+F117)</f>
        <v>6932.14</v>
      </c>
      <c r="G197" s="65" t="n">
        <f aca="false">IF(G$5="A",Inputs_Actuals!G275,G116+G117)</f>
        <v>6932.14</v>
      </c>
      <c r="H197" s="65" t="n">
        <f aca="false">IF(H$5="A",Inputs_Actuals!H275,H116+H117)</f>
        <v>6932.14</v>
      </c>
      <c r="I197" s="65" t="n">
        <f aca="false">IF(I$5="A",Inputs_Actuals!I275,I116+I117)</f>
        <v>6932.14</v>
      </c>
      <c r="J197" s="65" t="n">
        <f aca="false">IF(J$5="A",Inputs_Actuals!J275,J116+J117)</f>
        <v>13864.29</v>
      </c>
      <c r="K197" s="65" t="n">
        <f aca="false">IF(K$5="A",Inputs_Actuals!K275,K116+K117)</f>
        <v>6932.14</v>
      </c>
      <c r="L197" s="65" t="n">
        <f aca="false">IF(L$5="A",Inputs_Actuals!L275,L116+L117)</f>
        <v>6932.14</v>
      </c>
      <c r="M197" s="65" t="n">
        <f aca="false">IF(M$5="A",Inputs_Actuals!M275,M116+M117)</f>
        <v>6885.92857142857</v>
      </c>
      <c r="N197" s="65" t="n">
        <f aca="false">IF(N$5="A",Inputs_Actuals!N275,N116+N117)</f>
        <v>6840.02238095238</v>
      </c>
      <c r="O197" s="65" t="n">
        <f aca="false">IF(O$5="A",Inputs_Actuals!O275,O116+O117)</f>
        <v>6840.63651746032</v>
      </c>
      <c r="P197" s="65" t="n">
        <f aca="false">IF(P$5="A",Inputs_Actuals!P275,P116+P117)</f>
        <v>13719.5737392557</v>
      </c>
      <c r="Q197" s="65" t="n">
        <f aca="false">IF(Q$5="A",Inputs_Actuals!Q275,Q116+Q117)</f>
        <v>7080.36498976742</v>
      </c>
      <c r="R197" s="65" t="n">
        <f aca="false">IF(R$5="A",Inputs_Actuals!R275,R116+R117)</f>
        <v>7080.36294847278</v>
      </c>
      <c r="S197" s="65" t="n">
        <f aca="false">IF(S$5="A",Inputs_Actuals!S275,S116+S117)</f>
        <v>7080.36300422126</v>
      </c>
      <c r="T197" s="65" t="n">
        <f aca="false">IF(T$5="A",Inputs_Actuals!T275,T116+T117)</f>
        <v>7080.36301745823</v>
      </c>
      <c r="U197" s="65" t="n">
        <f aca="false">IF(U$5="A",Inputs_Actuals!U275,U116+U117)</f>
        <v>7080.36301699833</v>
      </c>
      <c r="V197" s="65" t="n">
        <f aca="false">IF(V$5="A",Inputs_Actuals!V275,V116+V117)</f>
        <v>14160.7263492183</v>
      </c>
      <c r="W197" s="65" t="n">
        <f aca="false">IF(W$5="A",Inputs_Actuals!W275,W116+W117)</f>
        <v>7080.36301691678</v>
      </c>
      <c r="X197" s="65" t="n">
        <f aca="false">IF(X$5="A",Inputs_Actuals!X275,X116+X117)</f>
        <v>7080.36301691732</v>
      </c>
      <c r="Y197" s="65" t="n">
        <f aca="false">IF(Y$5="A",Inputs_Actuals!Y275,Y116+Y117)</f>
        <v>7080.3630169173</v>
      </c>
      <c r="Z197" s="65" t="n">
        <f aca="false">IF(Z$5="A",Inputs_Actuals!Z275,Z116+Z117)</f>
        <v>7080.36301691729</v>
      </c>
      <c r="AA197" s="65" t="n">
        <f aca="false">IF(AA$5="A",Inputs_Actuals!AA275,AA116+AA117)</f>
        <v>7080.36301691729</v>
      </c>
      <c r="AB197" s="65" t="n">
        <f aca="false">IF(AB$5="A",Inputs_Actuals!AB275,AB116+AB117)</f>
        <v>14160.7260338345</v>
      </c>
    </row>
    <row r="198" customFormat="false" ht="15" hidden="false" customHeight="false" outlineLevel="0" collapsed="false">
      <c r="A198" s="28" t="s">
        <v>1250</v>
      </c>
      <c r="B198" s="63"/>
      <c r="C198" s="64" t="n">
        <f aca="false">SUM(E198:P198)</f>
        <v>276638.135040841</v>
      </c>
      <c r="D198" s="64" t="n">
        <f aca="false">SUM(Q198:AB198)</f>
        <v>283600.751250569</v>
      </c>
      <c r="E198" s="74" t="n">
        <f aca="false">E193+E195-E197-E196</f>
        <v>19653.64</v>
      </c>
      <c r="F198" s="74" t="n">
        <f aca="false">F193+F195-F197-F196</f>
        <v>19660.74</v>
      </c>
      <c r="G198" s="74" t="n">
        <f aca="false">G193+G195-G197-G196</f>
        <v>19680.52</v>
      </c>
      <c r="H198" s="74" t="n">
        <f aca="false">H193+H195-H197-H196</f>
        <v>19553.29</v>
      </c>
      <c r="I198" s="74" t="n">
        <f aca="false">I193+I195-I197-I196</f>
        <v>19483.12</v>
      </c>
      <c r="J198" s="74" t="n">
        <f aca="false">J193+J195-J197-J196</f>
        <v>40841.34</v>
      </c>
      <c r="K198" s="74" t="n">
        <f aca="false">K193+K195-K197-K196</f>
        <v>19522.02</v>
      </c>
      <c r="L198" s="74" t="n">
        <f aca="false">L193+L195-L197-L196</f>
        <v>19628.88</v>
      </c>
      <c r="M198" s="74" t="n">
        <f aca="false">M193+M195-M197-M196</f>
        <v>19470.4495338641</v>
      </c>
      <c r="N198" s="74" t="n">
        <f aca="false">N193+N195-N197-N196</f>
        <v>19340.6465369717</v>
      </c>
      <c r="O198" s="74" t="n">
        <f aca="false">O193+O195-O197-O196</f>
        <v>19342.3830513373</v>
      </c>
      <c r="P198" s="74" t="n">
        <f aca="false">P193+P195-P197-P196</f>
        <v>40461.1059186682</v>
      </c>
      <c r="Q198" s="74" t="n">
        <f aca="false">Q193+Q195-Q197-Q196</f>
        <v>20010.5362077203</v>
      </c>
      <c r="R198" s="74" t="n">
        <f aca="false">R193+R195-R197-R196</f>
        <v>20010.5304386109</v>
      </c>
      <c r="S198" s="74" t="n">
        <f aca="false">S193+S195-S197-S196</f>
        <v>20010.5305961673</v>
      </c>
      <c r="T198" s="74" t="n">
        <f aca="false">T193+T195-T197-T196</f>
        <v>20010.5306335777</v>
      </c>
      <c r="U198" s="74" t="n">
        <f aca="false">U193+U195-U197-U196</f>
        <v>20010.5306322779</v>
      </c>
      <c r="V198" s="74" t="n">
        <f aca="false">V193+V195-V197-V196</f>
        <v>41747.7202751112</v>
      </c>
      <c r="W198" s="74" t="n">
        <f aca="false">W193+W195-W197-W196</f>
        <v>20010.5306320474</v>
      </c>
      <c r="X198" s="74" t="n">
        <f aca="false">X193+X195-X197-X196</f>
        <v>20010.530632049</v>
      </c>
      <c r="Y198" s="74" t="n">
        <f aca="false">Y193+Y195-Y197-Y196</f>
        <v>20010.5306320489</v>
      </c>
      <c r="Z198" s="74" t="n">
        <f aca="false">Z193+Z195-Z197-Z196</f>
        <v>20010.5306320489</v>
      </c>
      <c r="AA198" s="74" t="n">
        <f aca="false">AA193+AA195-AA197-AA196</f>
        <v>20010.5306320489</v>
      </c>
      <c r="AB198" s="74" t="n">
        <f aca="false">AB193+AB195-AB197-AB196</f>
        <v>41747.7193068607</v>
      </c>
    </row>
    <row r="199" customFormat="false" ht="15" hidden="false" customHeight="false" outlineLevel="0" collapsed="false">
      <c r="A199" s="22" t="s">
        <v>1251</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row>
    <row r="200" customFormat="false" ht="15" hidden="false" customHeight="false" outlineLevel="0" collapsed="false">
      <c r="A200" s="28" t="s">
        <v>1252</v>
      </c>
      <c r="B200" s="63" t="s">
        <v>1253</v>
      </c>
      <c r="C200" s="64" t="n">
        <f aca="false">SUM(E200:P200)</f>
        <v>113978.652528683</v>
      </c>
      <c r="D200" s="64" t="n">
        <f aca="false">SUM(Q200:AB200)</f>
        <v>122928.442823265</v>
      </c>
      <c r="E200" s="65" t="n">
        <f aca="false">IF(E$5="A",Inputs_Actuals!E293,Assumptions!$C$104*New_Business!E26+Assumptions!$C$105*MAX(0,New_Business!E27))</f>
        <v>12097.57</v>
      </c>
      <c r="F200" s="65" t="n">
        <f aca="false">IF(F$5="A",Inputs_Actuals!F293,Assumptions!$C$104*New_Business!F26+Assumptions!$C$105*MAX(0,New_Business!F27))</f>
        <v>5623.91</v>
      </c>
      <c r="G200" s="65" t="n">
        <f aca="false">IF(G$5="A",Inputs_Actuals!G293,Assumptions!$C$104*New_Business!G26+Assumptions!$C$105*MAX(0,New_Business!G27))</f>
        <v>10150.16</v>
      </c>
      <c r="H200" s="65" t="n">
        <f aca="false">IF(H$5="A",Inputs_Actuals!H293,Assumptions!$C$104*New_Business!H26+Assumptions!$C$105*MAX(0,New_Business!H27))</f>
        <v>20230.02</v>
      </c>
      <c r="I200" s="65" t="n">
        <f aca="false">IF(I$5="A",Inputs_Actuals!I293,Assumptions!$C$104*New_Business!I26+Assumptions!$C$105*MAX(0,New_Business!I27))</f>
        <v>5145.37</v>
      </c>
      <c r="J200" s="65" t="n">
        <f aca="false">IF(J$5="A",Inputs_Actuals!J293,Assumptions!$C$104*New_Business!J26+Assumptions!$C$105*MAX(0,New_Business!J27))</f>
        <v>6386.09</v>
      </c>
      <c r="K200" s="65" t="n">
        <f aca="false">IF(K$5="A",Inputs_Actuals!K293,Assumptions!$C$104*New_Business!K26+Assumptions!$C$105*MAX(0,New_Business!K27))</f>
        <v>13006.18</v>
      </c>
      <c r="L200" s="65" t="n">
        <f aca="false">IF(L$5="A",Inputs_Actuals!L293,Assumptions!$C$104*New_Business!L26+Assumptions!$C$105*MAX(0,New_Business!L27))</f>
        <v>6465.17</v>
      </c>
      <c r="M200" s="65" t="n">
        <f aca="false">IF(M$5="A",Inputs_Actuals!M293,Assumptions!$C$104*New_Business!M26+Assumptions!$C$105*MAX(0,New_Business!M27))</f>
        <v>6629.884249992</v>
      </c>
      <c r="N200" s="65" t="n">
        <f aca="false">IF(N$5="A",Inputs_Actuals!N293,Assumptions!$C$104*New_Business!N26+Assumptions!$C$105*MAX(0,New_Business!N27))</f>
        <v>6442.51923678942</v>
      </c>
      <c r="O200" s="65" t="n">
        <f aca="false">IF(O$5="A",Inputs_Actuals!O293,Assumptions!$C$104*New_Business!O26+Assumptions!$C$105*MAX(0,New_Business!O27))</f>
        <v>11426.9201727284</v>
      </c>
      <c r="P200" s="65" t="n">
        <f aca="false">IF(P$5="A",Inputs_Actuals!P293,Assumptions!$C$104*New_Business!P26+Assumptions!$C$105*MAX(0,New_Business!P27))</f>
        <v>10374.858869173</v>
      </c>
      <c r="Q200" s="65" t="n">
        <f aca="false">IF(Q$5="A",Inputs_Actuals!Q293,Assumptions!$C$104*New_Business!Q26+Assumptions!$C$105*MAX(0,New_Business!Q27))</f>
        <v>11809.8937082998</v>
      </c>
      <c r="R200" s="65" t="n">
        <f aca="false">IF(R$5="A",Inputs_Actuals!R293,Assumptions!$C$104*New_Business!R26+Assumptions!$C$105*MAX(0,New_Business!R27))</f>
        <v>9662.2849191797</v>
      </c>
      <c r="S200" s="65" t="n">
        <f aca="false">IF(S$5="A",Inputs_Actuals!S293,Assumptions!$C$104*New_Business!S26+Assumptions!$C$105*MAX(0,New_Business!S27))</f>
        <v>10761.1486847541</v>
      </c>
      <c r="T200" s="65" t="n">
        <f aca="false">IF(T$5="A",Inputs_Actuals!T293,Assumptions!$C$104*New_Business!T26+Assumptions!$C$105*MAX(0,New_Business!T27))</f>
        <v>10261.3880004515</v>
      </c>
      <c r="U200" s="65" t="n">
        <f aca="false">IF(U$5="A",Inputs_Actuals!U293,Assumptions!$C$104*New_Business!U26+Assumptions!$C$105*MAX(0,New_Business!U27))</f>
        <v>6483.27538224169</v>
      </c>
      <c r="V200" s="65" t="n">
        <f aca="false">IF(V$5="A",Inputs_Actuals!V293,Assumptions!$C$104*New_Business!V26+Assumptions!$C$105*MAX(0,New_Business!V27))</f>
        <v>10573.1882210565</v>
      </c>
      <c r="W200" s="65" t="n">
        <f aca="false">IF(W$5="A",Inputs_Actuals!W293,Assumptions!$C$104*New_Business!W26+Assumptions!$C$105*MAX(0,New_Business!W27))</f>
        <v>10199.2909057214</v>
      </c>
      <c r="X200" s="65" t="n">
        <f aca="false">IF(X$5="A",Inputs_Actuals!X293,Assumptions!$C$104*New_Business!X26+Assumptions!$C$105*MAX(0,New_Business!X27))</f>
        <v>8906.29454014709</v>
      </c>
      <c r="Y200" s="65" t="n">
        <f aca="false">IF(Y$5="A",Inputs_Actuals!Y293,Assumptions!$C$104*New_Business!Y26+Assumptions!$C$105*MAX(0,New_Business!Y27))</f>
        <v>11574.5020295486</v>
      </c>
      <c r="Z200" s="65" t="n">
        <f aca="false">IF(Z$5="A",Inputs_Actuals!Z293,Assumptions!$C$104*New_Business!Z26+Assumptions!$C$105*MAX(0,New_Business!Z27))</f>
        <v>11392.1801252181</v>
      </c>
      <c r="AA200" s="65" t="n">
        <f aca="false">IF(AA$5="A",Inputs_Actuals!AA293,Assumptions!$C$104*New_Business!AA26+Assumptions!$C$105*MAX(0,New_Business!AA27))</f>
        <v>11314.5252803725</v>
      </c>
      <c r="AB200" s="65" t="n">
        <f aca="false">IF(AB$5="A",Inputs_Actuals!AB293,Assumptions!$C$104*New_Business!AB26+Assumptions!$C$105*MAX(0,New_Business!AB27))</f>
        <v>9990.47102627354</v>
      </c>
    </row>
    <row r="201" customFormat="false" ht="15" hidden="false" customHeight="false" outlineLevel="0" collapsed="false">
      <c r="A201" s="28" t="s">
        <v>1254</v>
      </c>
      <c r="B201" s="63"/>
      <c r="C201" s="64" t="n">
        <f aca="false">SUM(E201:P201)</f>
        <v>36644.1367879716</v>
      </c>
      <c r="D201" s="64" t="n">
        <f aca="false">SUM(Q201:AB201)</f>
        <v>39619.8371219382</v>
      </c>
      <c r="E201" s="65" t="n">
        <f aca="false">E200*Assumptions!E$203</f>
        <v>3889.368755</v>
      </c>
      <c r="F201" s="65" t="n">
        <f aca="false">F200*Assumptions!F$203</f>
        <v>1808.087065</v>
      </c>
      <c r="G201" s="65" t="n">
        <f aca="false">G200*Assumptions!G$203</f>
        <v>3263.27644</v>
      </c>
      <c r="H201" s="65" t="n">
        <f aca="false">H200*Assumptions!H$203</f>
        <v>6503.95143</v>
      </c>
      <c r="I201" s="65" t="n">
        <f aca="false">I200*Assumptions!I$203</f>
        <v>1654.236455</v>
      </c>
      <c r="J201" s="65" t="n">
        <f aca="false">J200*Assumptions!J$203</f>
        <v>2053.127935</v>
      </c>
      <c r="K201" s="65" t="n">
        <f aca="false">K200*Assumptions!K$203</f>
        <v>4181.48687</v>
      </c>
      <c r="L201" s="65" t="n">
        <f aca="false">L200*Assumptions!L$203</f>
        <v>2078.552155</v>
      </c>
      <c r="M201" s="65" t="n">
        <f aca="false">M200*Assumptions!M$203</f>
        <v>2131.50778637243</v>
      </c>
      <c r="N201" s="65" t="n">
        <f aca="false">N200*Assumptions!N$203</f>
        <v>2071.2699346278</v>
      </c>
      <c r="O201" s="65" t="n">
        <f aca="false">O200*Assumptions!O$203</f>
        <v>3673.75483553219</v>
      </c>
      <c r="P201" s="65" t="n">
        <f aca="false">P200*Assumptions!P$203</f>
        <v>3335.51712643913</v>
      </c>
      <c r="Q201" s="65" t="n">
        <f aca="false">Q200*Assumptions!Q$203</f>
        <v>3806.32874218502</v>
      </c>
      <c r="R201" s="65" t="n">
        <f aca="false">R200*Assumptions!R$203</f>
        <v>3114.15442945162</v>
      </c>
      <c r="S201" s="65" t="n">
        <f aca="false">S200*Assumptions!S$203</f>
        <v>3468.31822109626</v>
      </c>
      <c r="T201" s="65" t="n">
        <f aca="false">T200*Assumptions!T$203</f>
        <v>3307.24535254553</v>
      </c>
      <c r="U201" s="65" t="n">
        <f aca="false">U200*Assumptions!U$203</f>
        <v>2089.5596556965</v>
      </c>
      <c r="V201" s="65" t="n">
        <f aca="false">V200*Assumptions!V$203</f>
        <v>3407.73856364651</v>
      </c>
      <c r="W201" s="65" t="n">
        <f aca="false">W200*Assumptions!W$203</f>
        <v>3287.23145891401</v>
      </c>
      <c r="X201" s="65" t="n">
        <f aca="false">X200*Assumptions!X$203</f>
        <v>2870.49873028941</v>
      </c>
      <c r="Y201" s="65" t="n">
        <f aca="false">Y200*Assumptions!Y$203</f>
        <v>3730.46200412352</v>
      </c>
      <c r="Z201" s="65" t="n">
        <f aca="false">Z200*Assumptions!Z$203</f>
        <v>3671.6996543578</v>
      </c>
      <c r="AA201" s="65" t="n">
        <f aca="false">AA200*Assumptions!AA$203</f>
        <v>3646.67149786406</v>
      </c>
      <c r="AB201" s="65" t="n">
        <f aca="false">AB200*Assumptions!AB$203</f>
        <v>3219.92881176796</v>
      </c>
    </row>
    <row r="202" customFormat="false" ht="15" hidden="false" customHeight="false" outlineLevel="0" collapsed="false">
      <c r="A202" s="28" t="s">
        <v>1255</v>
      </c>
      <c r="B202" s="63"/>
      <c r="C202" s="64" t="n">
        <f aca="false">SUM(E202:P202)</f>
        <v>107763.47365951</v>
      </c>
      <c r="D202" s="64" t="n">
        <f aca="false">SUM(Q202:AB202)</f>
        <v>123312.830666164</v>
      </c>
      <c r="E202" s="65" t="n">
        <f aca="false">Inputs_Actuals!$C$337</f>
        <v>4159.68</v>
      </c>
      <c r="F202" s="74" t="n">
        <f aca="false">E200</f>
        <v>12097.57</v>
      </c>
      <c r="G202" s="74" t="n">
        <f aca="false">F200</f>
        <v>5623.91</v>
      </c>
      <c r="H202" s="74" t="n">
        <f aca="false">G200</f>
        <v>10150.16</v>
      </c>
      <c r="I202" s="74" t="n">
        <f aca="false">H200</f>
        <v>20230.02</v>
      </c>
      <c r="J202" s="74" t="n">
        <f aca="false">I200</f>
        <v>5145.37</v>
      </c>
      <c r="K202" s="74" t="n">
        <f aca="false">J200</f>
        <v>6386.09</v>
      </c>
      <c r="L202" s="74" t="n">
        <f aca="false">K200</f>
        <v>13006.18</v>
      </c>
      <c r="M202" s="74" t="n">
        <f aca="false">L200</f>
        <v>6465.17</v>
      </c>
      <c r="N202" s="74" t="n">
        <f aca="false">M200</f>
        <v>6629.884249992</v>
      </c>
      <c r="O202" s="74" t="n">
        <f aca="false">N200</f>
        <v>6442.51923678942</v>
      </c>
      <c r="P202" s="74" t="n">
        <f aca="false">O200</f>
        <v>11426.9201727284</v>
      </c>
      <c r="Q202" s="74" t="n">
        <f aca="false">P200</f>
        <v>10374.858869173</v>
      </c>
      <c r="R202" s="74" t="n">
        <f aca="false">Q200</f>
        <v>11809.8937082998</v>
      </c>
      <c r="S202" s="74" t="n">
        <f aca="false">R200</f>
        <v>9662.2849191797</v>
      </c>
      <c r="T202" s="74" t="n">
        <f aca="false">S200</f>
        <v>10761.1486847541</v>
      </c>
      <c r="U202" s="74" t="n">
        <f aca="false">T200</f>
        <v>10261.3880004515</v>
      </c>
      <c r="V202" s="74" t="n">
        <f aca="false">U200</f>
        <v>6483.27538224169</v>
      </c>
      <c r="W202" s="74" t="n">
        <f aca="false">V200</f>
        <v>10573.1882210565</v>
      </c>
      <c r="X202" s="74" t="n">
        <f aca="false">W200</f>
        <v>10199.2909057214</v>
      </c>
      <c r="Y202" s="74" t="n">
        <f aca="false">X200</f>
        <v>8906.29454014709</v>
      </c>
      <c r="Z202" s="74" t="n">
        <f aca="false">Y200</f>
        <v>11574.5020295486</v>
      </c>
      <c r="AA202" s="74" t="n">
        <f aca="false">Z200</f>
        <v>11392.1801252181</v>
      </c>
      <c r="AB202" s="74" t="n">
        <f aca="false">AA200</f>
        <v>11314.5252803725</v>
      </c>
    </row>
    <row r="203" customFormat="false" ht="15" hidden="false" customHeight="false" outlineLevel="0" collapsed="false">
      <c r="A203" s="28" t="s">
        <v>1256</v>
      </c>
      <c r="B203" s="63"/>
      <c r="C203" s="64" t="n">
        <f aca="false">SUM(E203:P203)</f>
        <v>19397.4252587118</v>
      </c>
      <c r="D203" s="64" t="n">
        <f aca="false">SUM(Q203:AB203)</f>
        <v>22196.3095199095</v>
      </c>
      <c r="E203" s="65" t="n">
        <f aca="false">E202*Assumptions!$E$86</f>
        <v>748.7424</v>
      </c>
      <c r="F203" s="65" t="n">
        <f aca="false">F202*Assumptions!$E$86</f>
        <v>2177.5626</v>
      </c>
      <c r="G203" s="65" t="n">
        <f aca="false">G202*Assumptions!$E$86</f>
        <v>1012.3038</v>
      </c>
      <c r="H203" s="65" t="n">
        <f aca="false">H202*Assumptions!$E$86</f>
        <v>1827.0288</v>
      </c>
      <c r="I203" s="65" t="n">
        <f aca="false">I202*Assumptions!$E$86</f>
        <v>3641.4036</v>
      </c>
      <c r="J203" s="65" t="n">
        <f aca="false">J202*Assumptions!$E$86</f>
        <v>926.1666</v>
      </c>
      <c r="K203" s="65" t="n">
        <f aca="false">K202*Assumptions!$E$86</f>
        <v>1149.4962</v>
      </c>
      <c r="L203" s="65" t="n">
        <f aca="false">L202*Assumptions!$E$86</f>
        <v>2341.1124</v>
      </c>
      <c r="M203" s="65" t="n">
        <f aca="false">M202*Assumptions!$E$86</f>
        <v>1163.7306</v>
      </c>
      <c r="N203" s="65" t="n">
        <f aca="false">N202*Assumptions!$E$86</f>
        <v>1193.37916499856</v>
      </c>
      <c r="O203" s="65" t="n">
        <f aca="false">O202*Assumptions!$E$86</f>
        <v>1159.6534626221</v>
      </c>
      <c r="P203" s="65" t="n">
        <f aca="false">P202*Assumptions!$E$86</f>
        <v>2056.84563109112</v>
      </c>
      <c r="Q203" s="65" t="n">
        <f aca="false">Q202*Assumptions!$E$86</f>
        <v>1867.47459645115</v>
      </c>
      <c r="R203" s="65" t="n">
        <f aca="false">R202*Assumptions!$E$86</f>
        <v>2125.78086749396</v>
      </c>
      <c r="S203" s="65" t="n">
        <f aca="false">S202*Assumptions!$E$86</f>
        <v>1739.21128545235</v>
      </c>
      <c r="T203" s="65" t="n">
        <f aca="false">T202*Assumptions!$E$86</f>
        <v>1937.00676325574</v>
      </c>
      <c r="U203" s="65" t="n">
        <f aca="false">U202*Assumptions!$E$86</f>
        <v>1847.04984008128</v>
      </c>
      <c r="V203" s="65" t="n">
        <f aca="false">V202*Assumptions!$E$86</f>
        <v>1166.9895688035</v>
      </c>
      <c r="W203" s="65" t="n">
        <f aca="false">W202*Assumptions!$E$86</f>
        <v>1903.17387979017</v>
      </c>
      <c r="X203" s="65" t="n">
        <f aca="false">X202*Assumptions!$E$86</f>
        <v>1835.87236302985</v>
      </c>
      <c r="Y203" s="65" t="n">
        <f aca="false">Y202*Assumptions!$E$86</f>
        <v>1603.13301722648</v>
      </c>
      <c r="Z203" s="65" t="n">
        <f aca="false">Z202*Assumptions!$E$86</f>
        <v>2083.41036531875</v>
      </c>
      <c r="AA203" s="65" t="n">
        <f aca="false">AA202*Assumptions!$E$86</f>
        <v>2050.59242253926</v>
      </c>
      <c r="AB203" s="65" t="n">
        <f aca="false">AB202*Assumptions!$E$86</f>
        <v>2036.61455046705</v>
      </c>
    </row>
    <row r="204" customFormat="false" ht="15" hidden="false" customHeight="false" outlineLevel="0" collapsed="false">
      <c r="A204" s="28" t="s">
        <v>1257</v>
      </c>
      <c r="B204" s="63"/>
      <c r="C204" s="64" t="n">
        <f aca="false">SUM(E204:P204)</f>
        <v>7004.62578786814</v>
      </c>
      <c r="D204" s="64" t="n">
        <f aca="false">SUM(Q204:AB204)</f>
        <v>8039.9965594339</v>
      </c>
      <c r="E204" s="65" t="n">
        <f aca="false">E202*Assumptions!E$204</f>
        <v>270.3792</v>
      </c>
      <c r="F204" s="65" t="n">
        <f aca="false">F202*Assumptions!F$204</f>
        <v>786.34205</v>
      </c>
      <c r="G204" s="65" t="n">
        <f aca="false">G202*Assumptions!G$204</f>
        <v>365.55415</v>
      </c>
      <c r="H204" s="65" t="n">
        <f aca="false">H202*Assumptions!H$204</f>
        <v>659.7604</v>
      </c>
      <c r="I204" s="65" t="n">
        <f aca="false">I202*Assumptions!I$204</f>
        <v>1314.9513</v>
      </c>
      <c r="J204" s="65" t="n">
        <f aca="false">J202*Assumptions!J$204</f>
        <v>334.44905</v>
      </c>
      <c r="K204" s="65" t="n">
        <f aca="false">K202*Assumptions!K$204</f>
        <v>415.09585</v>
      </c>
      <c r="L204" s="65" t="n">
        <f aca="false">L202*Assumptions!L$204</f>
        <v>845.4017</v>
      </c>
      <c r="M204" s="65" t="n">
        <f aca="false">M202*Assumptions!M$204</f>
        <v>420.23605</v>
      </c>
      <c r="N204" s="65" t="n">
        <f aca="false">N202*Assumptions!N$204</f>
        <v>430.94247624948</v>
      </c>
      <c r="O204" s="65" t="n">
        <f aca="false">O202*Assumptions!O$204</f>
        <v>418.763750391312</v>
      </c>
      <c r="P204" s="65" t="n">
        <f aca="false">P202*Assumptions!P$204</f>
        <v>742.749811227349</v>
      </c>
      <c r="Q204" s="65" t="n">
        <f aca="false">Q202*Assumptions!Q$204</f>
        <v>676.440798270082</v>
      </c>
      <c r="R204" s="65" t="n">
        <f aca="false">R202*Assumptions!R$204</f>
        <v>770.005069781146</v>
      </c>
      <c r="S204" s="65" t="n">
        <f aca="false">S202*Assumptions!S$204</f>
        <v>629.980976730516</v>
      </c>
      <c r="T204" s="65" t="n">
        <f aca="false">T202*Assumptions!T$204</f>
        <v>701.62689424597</v>
      </c>
      <c r="U204" s="65" t="n">
        <f aca="false">U202*Assumptions!U$204</f>
        <v>669.042497629441</v>
      </c>
      <c r="V204" s="65" t="n">
        <f aca="false">V202*Assumptions!V$204</f>
        <v>422.709554922158</v>
      </c>
      <c r="W204" s="65" t="n">
        <f aca="false">W202*Assumptions!W$204</f>
        <v>689.371872012884</v>
      </c>
      <c r="X204" s="65" t="n">
        <f aca="false">X202*Assumptions!X$204</f>
        <v>664.993767053036</v>
      </c>
      <c r="Y204" s="65" t="n">
        <f aca="false">Y202*Assumptions!Y$204</f>
        <v>580.69040401759</v>
      </c>
      <c r="Z204" s="65" t="n">
        <f aca="false">Z202*Assumptions!Z$204</f>
        <v>754.65753232657</v>
      </c>
      <c r="AA204" s="65" t="n">
        <f aca="false">AA202*Assumptions!AA$204</f>
        <v>742.770144164222</v>
      </c>
      <c r="AB204" s="65" t="n">
        <f aca="false">AB202*Assumptions!AB$204</f>
        <v>737.707048280289</v>
      </c>
    </row>
    <row r="205" customFormat="false" ht="15" hidden="false" customHeight="false" outlineLevel="0" collapsed="false">
      <c r="A205" s="28" t="s">
        <v>1258</v>
      </c>
      <c r="B205" s="63"/>
      <c r="C205" s="64" t="n">
        <f aca="false">SUM(E205:P205)</f>
        <v>81361.42261293</v>
      </c>
      <c r="D205" s="64" t="n">
        <f aca="false">SUM(Q205:AB205)</f>
        <v>93076.5245868207</v>
      </c>
      <c r="E205" s="74" t="n">
        <f aca="false">E202-E203-E204</f>
        <v>3140.5584</v>
      </c>
      <c r="F205" s="74" t="n">
        <f aca="false">F202-F203-F204</f>
        <v>9133.66535</v>
      </c>
      <c r="G205" s="74" t="n">
        <f aca="false">G202-G203-G204</f>
        <v>4246.05205</v>
      </c>
      <c r="H205" s="74" t="n">
        <f aca="false">H202-H203-H204</f>
        <v>7663.3708</v>
      </c>
      <c r="I205" s="74" t="n">
        <f aca="false">I202-I203-I204</f>
        <v>15273.6651</v>
      </c>
      <c r="J205" s="74" t="n">
        <f aca="false">J202-J203-J204</f>
        <v>3884.75435</v>
      </c>
      <c r="K205" s="74" t="n">
        <f aca="false">K202-K203-K204</f>
        <v>4821.49795</v>
      </c>
      <c r="L205" s="74" t="n">
        <f aca="false">L202-L203-L204</f>
        <v>9819.6659</v>
      </c>
      <c r="M205" s="74" t="n">
        <f aca="false">M202-M203-M204</f>
        <v>4881.20335</v>
      </c>
      <c r="N205" s="74" t="n">
        <f aca="false">N202-N203-N204</f>
        <v>5005.56260874396</v>
      </c>
      <c r="O205" s="74" t="n">
        <f aca="false">O202-O203-O204</f>
        <v>4864.10202377602</v>
      </c>
      <c r="P205" s="74" t="n">
        <f aca="false">P202-P203-P204</f>
        <v>8627.32473040998</v>
      </c>
      <c r="Q205" s="74" t="n">
        <f aca="false">Q202-Q203-Q204</f>
        <v>7830.9434744518</v>
      </c>
      <c r="R205" s="74" t="n">
        <f aca="false">R202-R203-R204</f>
        <v>8914.10777102468</v>
      </c>
      <c r="S205" s="74" t="n">
        <f aca="false">S202-S203-S204</f>
        <v>7293.09265699684</v>
      </c>
      <c r="T205" s="74" t="n">
        <f aca="false">T202-T203-T204</f>
        <v>8122.51502725242</v>
      </c>
      <c r="U205" s="74" t="n">
        <f aca="false">U202-U203-U204</f>
        <v>7745.29566274083</v>
      </c>
      <c r="V205" s="74" t="n">
        <f aca="false">V202-V203-V204</f>
        <v>4893.57625851603</v>
      </c>
      <c r="W205" s="74" t="n">
        <f aca="false">W202-W203-W204</f>
        <v>7980.64246925345</v>
      </c>
      <c r="X205" s="74" t="n">
        <f aca="false">X202-X203-X204</f>
        <v>7698.42477563852</v>
      </c>
      <c r="Y205" s="74" t="n">
        <f aca="false">Y202-Y203-Y204</f>
        <v>6722.47111890302</v>
      </c>
      <c r="Z205" s="74" t="n">
        <f aca="false">Z202-Z203-Z204</f>
        <v>8736.4341319033</v>
      </c>
      <c r="AA205" s="74" t="n">
        <f aca="false">AA202-AA203-AA204</f>
        <v>8598.81755851464</v>
      </c>
      <c r="AB205" s="74" t="n">
        <f aca="false">AB202-AB203-AB204</f>
        <v>8540.20368162518</v>
      </c>
    </row>
    <row r="206" customFormat="false" ht="15" hidden="false" customHeight="false" outlineLevel="0" collapsed="false">
      <c r="A206" s="28" t="s">
        <v>443</v>
      </c>
      <c r="B206" s="63"/>
      <c r="C206" s="64" t="n">
        <f aca="false">P206</f>
        <v>10374.858869173</v>
      </c>
      <c r="D206" s="64" t="n">
        <f aca="false">AB206</f>
        <v>9990.47102627354</v>
      </c>
      <c r="E206" s="74" t="n">
        <f aca="false">E200</f>
        <v>12097.57</v>
      </c>
      <c r="F206" s="74" t="n">
        <f aca="false">F200</f>
        <v>5623.91</v>
      </c>
      <c r="G206" s="74" t="n">
        <f aca="false">G200</f>
        <v>10150.16</v>
      </c>
      <c r="H206" s="74" t="n">
        <f aca="false">H200</f>
        <v>20230.02</v>
      </c>
      <c r="I206" s="74" t="n">
        <f aca="false">I200</f>
        <v>5145.37</v>
      </c>
      <c r="J206" s="74" t="n">
        <f aca="false">J200</f>
        <v>6386.09</v>
      </c>
      <c r="K206" s="74" t="n">
        <f aca="false">K200</f>
        <v>13006.18</v>
      </c>
      <c r="L206" s="74" t="n">
        <f aca="false">L200</f>
        <v>6465.17</v>
      </c>
      <c r="M206" s="74" t="n">
        <f aca="false">M200</f>
        <v>6629.884249992</v>
      </c>
      <c r="N206" s="74" t="n">
        <f aca="false">N200</f>
        <v>6442.51923678942</v>
      </c>
      <c r="O206" s="74" t="n">
        <f aca="false">O200</f>
        <v>11426.9201727284</v>
      </c>
      <c r="P206" s="74" t="n">
        <f aca="false">P200</f>
        <v>10374.858869173</v>
      </c>
      <c r="Q206" s="74" t="n">
        <f aca="false">Q200</f>
        <v>11809.8937082998</v>
      </c>
      <c r="R206" s="74" t="n">
        <f aca="false">R200</f>
        <v>9662.2849191797</v>
      </c>
      <c r="S206" s="74" t="n">
        <f aca="false">S200</f>
        <v>10761.1486847541</v>
      </c>
      <c r="T206" s="74" t="n">
        <f aca="false">T200</f>
        <v>10261.3880004515</v>
      </c>
      <c r="U206" s="74" t="n">
        <f aca="false">U200</f>
        <v>6483.27538224169</v>
      </c>
      <c r="V206" s="74" t="n">
        <f aca="false">V200</f>
        <v>10573.1882210565</v>
      </c>
      <c r="W206" s="74" t="n">
        <f aca="false">W200</f>
        <v>10199.2909057214</v>
      </c>
      <c r="X206" s="74" t="n">
        <f aca="false">X200</f>
        <v>8906.29454014709</v>
      </c>
      <c r="Y206" s="74" t="n">
        <f aca="false">Y200</f>
        <v>11574.5020295486</v>
      </c>
      <c r="Z206" s="74" t="n">
        <f aca="false">Z200</f>
        <v>11392.1801252181</v>
      </c>
      <c r="AA206" s="74" t="n">
        <f aca="false">AA200</f>
        <v>11314.5252803725</v>
      </c>
      <c r="AB206" s="74" t="n">
        <f aca="false">AB200</f>
        <v>9990.47102627354</v>
      </c>
    </row>
    <row r="207" customFormat="false" ht="15" hidden="false" customHeight="false" outlineLevel="0" collapsed="false">
      <c r="A207" s="22" t="s">
        <v>1259</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customFormat="false" ht="15" hidden="false" customHeight="false" outlineLevel="0" collapsed="false">
      <c r="A208" s="28" t="s">
        <v>1260</v>
      </c>
      <c r="B208" s="63"/>
      <c r="C208" s="64" t="n">
        <f aca="false">SUM(E208:P208)</f>
        <v>3972374.89778039</v>
      </c>
      <c r="D208" s="64" t="n">
        <f aca="false">SUM(Q208:AB208)</f>
        <v>4692891.24715404</v>
      </c>
      <c r="E208" s="74" t="n">
        <f aca="false">E120+E130+E140+E150+E160+E170+E180+E190</f>
        <v>309670.49</v>
      </c>
      <c r="F208" s="74" t="n">
        <f aca="false">F120+F130+F140+F150+F160+F170+F180+F190</f>
        <v>317377.97</v>
      </c>
      <c r="G208" s="74" t="n">
        <f aca="false">G120+G130+G140+G150+G160+G170+G180+G190</f>
        <v>324130.32</v>
      </c>
      <c r="H208" s="74" t="n">
        <f aca="false">H120+H130+H140+H150+H160+H170+H180+H190</f>
        <v>332216.77</v>
      </c>
      <c r="I208" s="74" t="n">
        <f aca="false">I120+I130+I140+I150+I160+I170+I180+I190</f>
        <v>336665.34</v>
      </c>
      <c r="J208" s="74" t="n">
        <f aca="false">J120+J130+J140+J150+J160+J170+J180+J190</f>
        <v>340533.51</v>
      </c>
      <c r="K208" s="74" t="n">
        <f aca="false">K120+K130+K140+K150+K160+K170+K180+K190</f>
        <v>339066.19</v>
      </c>
      <c r="L208" s="74" t="n">
        <f aca="false">L120+L130+L140+L150+L160+L170+L180+L190</f>
        <v>333989.21</v>
      </c>
      <c r="M208" s="74" t="n">
        <f aca="false">M120+M130+M140+M150+M160+M170+M180+M190</f>
        <v>333237.083333333</v>
      </c>
      <c r="N208" s="74" t="n">
        <f aca="false">N120+N130+N140+N150+N160+N170+N180+N190</f>
        <v>332661.766898148</v>
      </c>
      <c r="O208" s="74" t="n">
        <f aca="false">O120+O130+O140+O150+O160+O170+O180+O190</f>
        <v>336445.9963125</v>
      </c>
      <c r="P208" s="74" t="n">
        <f aca="false">P120+P130+P140+P150+P160+P170+P180+P190</f>
        <v>336380.251236409</v>
      </c>
      <c r="Q208" s="74" t="n">
        <f aca="false">Q120+Q130+Q140+Q150+Q160+Q170+Q180+Q190</f>
        <v>378778.085626431</v>
      </c>
      <c r="R208" s="74" t="n">
        <f aca="false">R120+R130+R140+R150+R160+R170+R180+R190</f>
        <v>378388.662141933</v>
      </c>
      <c r="S208" s="74" t="n">
        <f aca="false">S120+S130+S140+S150+S160+S170+S180+S190</f>
        <v>383523.572963448</v>
      </c>
      <c r="T208" s="74" t="n">
        <f aca="false">T120+T130+T140+T150+T160+T170+T180+T190</f>
        <v>387241.433841308</v>
      </c>
      <c r="U208" s="74" t="n">
        <f aca="false">U120+U130+U140+U150+U160+U170+U180+U190</f>
        <v>393159.501041918</v>
      </c>
      <c r="V208" s="74" t="n">
        <f aca="false">V120+V130+V140+V150+V160+V170+V180+V190</f>
        <v>393029.053525027</v>
      </c>
      <c r="W208" s="74" t="n">
        <f aca="false">W120+W130+W140+W150+W160+W170+W180+W190</f>
        <v>392937.173238543</v>
      </c>
      <c r="X208" s="74" t="n">
        <f aca="false">X120+X130+X140+X150+X160+X170+X180+X190</f>
        <v>392940.667543666</v>
      </c>
      <c r="Y208" s="74" t="n">
        <f aca="false">Y120+Y130+Y140+Y150+Y160+Y170+Y180+Y190</f>
        <v>398289.661456725</v>
      </c>
      <c r="Z208" s="74" t="n">
        <f aca="false">Z120+Z130+Z140+Z150+Z160+Z170+Z180+Z190</f>
        <v>398236.100128628</v>
      </c>
      <c r="AA208" s="74" t="n">
        <f aca="false">AA120+AA130+AA140+AA150+AA160+AA170+AA180+AA190</f>
        <v>398183.134716931</v>
      </c>
      <c r="AB208" s="74" t="n">
        <f aca="false">AB120+AB130+AB140+AB150+AB160+AB170+AB180+AB190</f>
        <v>398184.200929478</v>
      </c>
    </row>
    <row r="209" customFormat="false" ht="15" hidden="false" customHeight="false" outlineLevel="0" collapsed="false">
      <c r="A209" s="28" t="s">
        <v>1261</v>
      </c>
      <c r="B209" s="63"/>
      <c r="C209" s="64" t="n">
        <f aca="false">SUM(E209:P209)</f>
        <v>1214293.9947151</v>
      </c>
      <c r="D209" s="64" t="n">
        <f aca="false">SUM(Q209:AB209)</f>
        <v>1448428.61558773</v>
      </c>
      <c r="E209" s="74" t="n">
        <f aca="false">E121+E131+E141+E151+E161+E171+E181+E191</f>
        <v>94274.6</v>
      </c>
      <c r="F209" s="74" t="n">
        <f aca="false">F121+F131+F141+F151+F161+F171+F181+F191</f>
        <v>96803.59</v>
      </c>
      <c r="G209" s="74" t="n">
        <f aca="false">G121+G131+G141+G151+G161+G171+G181+G191</f>
        <v>98944.27</v>
      </c>
      <c r="H209" s="74" t="n">
        <f aca="false">H121+H131+H141+H151+H161+H171+H181+H191</f>
        <v>101306.91</v>
      </c>
      <c r="I209" s="74" t="n">
        <f aca="false">I121+I131+I141+I151+I161+I171+I181+I191</f>
        <v>103338.21</v>
      </c>
      <c r="J209" s="74" t="n">
        <f aca="false">J121+J131+J141+J151+J161+J171+J181+J191</f>
        <v>104168.08</v>
      </c>
      <c r="K209" s="74" t="n">
        <f aca="false">K121+K131+K141+K151+K161+K171+K181+K191</f>
        <v>103884.81</v>
      </c>
      <c r="L209" s="74" t="n">
        <f aca="false">L121+L131+L141+L151+L161+L171+L181+L191</f>
        <v>102022.35</v>
      </c>
      <c r="M209" s="74" t="n">
        <f aca="false">M121+M131+M141+M151+M161+M171+M181+M191</f>
        <v>101884.20384116</v>
      </c>
      <c r="N209" s="74" t="n">
        <f aca="false">N121+N131+N141+N151+N161+N171+N181+N191</f>
        <v>101752.718197943</v>
      </c>
      <c r="O209" s="74" t="n">
        <f aca="false">O121+O131+O141+O151+O161+O171+O181+O191</f>
        <v>102968.015417047</v>
      </c>
      <c r="P209" s="74" t="n">
        <f aca="false">P121+P131+P141+P151+P161+P171+P181+P191</f>
        <v>102946.237258945</v>
      </c>
      <c r="Q209" s="74" t="n">
        <f aca="false">Q121+Q131+Q141+Q151+Q161+Q171+Q181+Q191</f>
        <v>116739.316342472</v>
      </c>
      <c r="R209" s="74" t="n">
        <f aca="false">R121+R131+R141+R151+R161+R171+R181+R191</f>
        <v>116613.814482446</v>
      </c>
      <c r="S209" s="74" t="n">
        <f aca="false">S121+S131+S141+S151+S161+S171+S181+S191</f>
        <v>118268.795546351</v>
      </c>
      <c r="T209" s="74" t="n">
        <f aca="false">T121+T131+T141+T151+T161+T171+T181+T191</f>
        <v>119467.061958978</v>
      </c>
      <c r="U209" s="74" t="n">
        <f aca="false">U121+U131+U141+U151+U161+U171+U181+U191</f>
        <v>121374.455033766</v>
      </c>
      <c r="V209" s="74" t="n">
        <f aca="false">V121+V131+V141+V151+V161+V171+V181+V191</f>
        <v>121332.411801557</v>
      </c>
      <c r="W209" s="74" t="n">
        <f aca="false">W121+W131+W141+W151+W161+W171+W181+W191</f>
        <v>121302.798784854</v>
      </c>
      <c r="X209" s="74" t="n">
        <f aca="false">X121+X131+X141+X151+X161+X171+X181+X191</f>
        <v>121303.924999354</v>
      </c>
      <c r="Y209" s="74" t="n">
        <f aca="false">Y121+Y131+Y141+Y151+Y161+Y171+Y181+Y191</f>
        <v>123027.905737541</v>
      </c>
      <c r="Z209" s="74" t="n">
        <f aca="false">Z121+Z131+Z141+Z151+Z161+Z171+Z181+Z191</f>
        <v>123010.642921496</v>
      </c>
      <c r="AA209" s="74" t="n">
        <f aca="false">AA121+AA131+AA141+AA151+AA161+AA171+AA181+AA191</f>
        <v>122993.572169306</v>
      </c>
      <c r="AB209" s="74" t="n">
        <f aca="false">AB121+AB131+AB141+AB151+AB161+AB171+AB181+AB191</f>
        <v>122993.91580961</v>
      </c>
    </row>
    <row r="210" customFormat="false" ht="15" hidden="false" customHeight="false" outlineLevel="0" collapsed="false">
      <c r="A210" s="28" t="s">
        <v>1262</v>
      </c>
      <c r="B210" s="63"/>
      <c r="C210" s="64" t="n">
        <f aca="false">SUM(E210:P210)</f>
        <v>1503423.30980457</v>
      </c>
      <c r="D210" s="64" t="n">
        <f aca="false">SUM(Q210:AB210)</f>
        <v>1789093.24830784</v>
      </c>
      <c r="E210" s="74" t="n">
        <f aca="false">E121+E126+E131+E136+E141+E146+E151+E156+E161+E166+E171+E176+E181+E186+E191+E196+E201+E204</f>
        <v>117502.667955</v>
      </c>
      <c r="F210" s="74" t="n">
        <f aca="false">F121+F126+F131+F136+F141+F146+F151+F156+F161+F166+F171+F176+F181+F186+F191+F196+F201+F204</f>
        <v>118966.839115</v>
      </c>
      <c r="G210" s="74" t="n">
        <f aca="false">G121+G126+G131+G136+G141+G146+G151+G156+G161+G166+G171+G176+G181+G186+G191+G196+G201+G204</f>
        <v>122596.28059</v>
      </c>
      <c r="H210" s="74" t="n">
        <f aca="false">H121+H126+H131+H136+H141+H146+H151+H156+H161+H166+H171+H176+H181+H186+H191+H196+H201+H204</f>
        <v>128914.02183</v>
      </c>
      <c r="I210" s="74" t="n">
        <f aca="false">I121+I126+I131+I136+I141+I146+I151+I156+I161+I166+I171+I176+I181+I186+I191+I196+I201+I204</f>
        <v>127183.017755</v>
      </c>
      <c r="J210" s="74" t="n">
        <f aca="false">J121+J126+J131+J136+J141+J146+J151+J156+J161+J166+J171+J176+J181+J186+J191+J196+J201+J204</f>
        <v>127616.896985</v>
      </c>
      <c r="K210" s="74" t="n">
        <f aca="false">K121+K126+K131+K136+K141+K146+K151+K156+K161+K166+K171+K176+K181+K186+K191+K196+K201+K204</f>
        <v>129488.20272</v>
      </c>
      <c r="L210" s="74" t="n">
        <f aca="false">L121+L126+L131+L136+L141+L146+L151+L156+L161+L166+L171+L176+L181+L186+L191+L196+L201+L204</f>
        <v>125578.713855</v>
      </c>
      <c r="M210" s="74" t="n">
        <f aca="false">M121+M126+M131+M136+M141+M146+M151+M156+M161+M166+M171+M176+M181+M186+M191+M196+M201+M204</f>
        <v>125034.3194305</v>
      </c>
      <c r="N210" s="74" t="n">
        <f aca="false">N121+N126+N131+N136+N141+N146+N151+N156+N161+N166+N171+N176+N181+N186+N191+N196+N201+N204</f>
        <v>124826.721590066</v>
      </c>
      <c r="O210" s="74" t="n">
        <f aca="false">O121+O126+O131+O136+O141+O146+O151+O156+O161+O166+O171+O176+O181+O186+O191+O196+O201+O204</f>
        <v>127878.030430852</v>
      </c>
      <c r="P210" s="74" t="n">
        <f aca="false">P121+P126+P131+P136+P141+P146+P151+P156+P161+P166+P171+P176+P181+P186+P191+P196+P201+P204</f>
        <v>127837.597548146</v>
      </c>
      <c r="Q210" s="74" t="n">
        <f aca="false">Q121+Q126+Q131+Q136+Q141+Q146+Q151+Q156+Q161+Q166+Q171+Q176+Q181+Q186+Q191+Q196+Q201+Q204</f>
        <v>144837.439615833</v>
      </c>
      <c r="R210" s="74" t="n">
        <f aca="false">R121+R126+R131+R136+R141+R146+R151+R156+R161+R166+R171+R176+R181+R186+R191+R196+R201+R204</f>
        <v>144087.939191486</v>
      </c>
      <c r="S210" s="74" t="n">
        <f aca="false">S121+S126+S131+S136+S141+S146+S151+S156+S161+S166+S171+S176+S181+S186+S191+S196+S201+S204</f>
        <v>146291.855999117</v>
      </c>
      <c r="T210" s="74" t="n">
        <f aca="false">T121+T126+T131+T136+T141+T146+T151+T156+T161+T166+T171+T176+T181+T186+T191+T196+T201+T204</f>
        <v>147643.09995993</v>
      </c>
      <c r="U210" s="74" t="n">
        <f aca="false">U121+U126+U131+U136+U141+U146+U151+U156+U161+U166+U171+U176+U181+U186+U191+U196+U201+U204</f>
        <v>148686.080925977</v>
      </c>
      <c r="V210" s="74" t="n">
        <f aca="false">V121+V126+V131+V136+V141+V146+V151+V156+V161+V166+V171+V176+V181+V186+V191+V196+V201+V204</f>
        <v>149707.378481412</v>
      </c>
      <c r="W210" s="74" t="n">
        <f aca="false">W121+W126+W131+W136+W141+W146+W151+W156+W161+W166+W171+W176+W181+W186+W191+W196+W201+W204</f>
        <v>149817.930082314</v>
      </c>
      <c r="X210" s="74" t="n">
        <f aca="false">X121+X126+X131+X136+X141+X146+X151+X156+X161+X166+X171+X176+X181+X186+X191+X196+X201+X204</f>
        <v>149378.173291914</v>
      </c>
      <c r="Y210" s="74" t="n">
        <f aca="false">Y121+Y126+Y131+Y136+Y141+Y146+Y151+Y156+Y161+Y166+Y171+Y176+Y181+Y186+Y191+Y196+Y201+Y204</f>
        <v>152226.568344033</v>
      </c>
      <c r="Z210" s="74" t="n">
        <f aca="false">Z121+Z126+Z131+Z136+Z141+Z146+Z151+Z156+Z161+Z166+Z171+Z176+Z181+Z186+Z191+Z196+Z201+Z204</f>
        <v>152321.01810794</v>
      </c>
      <c r="AA210" s="74" t="n">
        <f aca="false">AA121+AA126+AA131+AA136+AA141+AA146+AA151+AA156+AA161+AA166+AA171+AA176+AA181+AA186+AA191+AA196+AA201+AA204</f>
        <v>152263.578466251</v>
      </c>
      <c r="AB210" s="74" t="n">
        <f aca="false">AB121+AB126+AB131+AB136+AB141+AB146+AB151+AB156+AB161+AB166+AB171+AB176+AB181+AB186+AB191+AB196+AB201+AB204</f>
        <v>151832.185841633</v>
      </c>
    </row>
    <row r="211" customFormat="false" ht="15" hidden="false" customHeight="false" outlineLevel="0" collapsed="false">
      <c r="A211" s="28" t="s">
        <v>1263</v>
      </c>
      <c r="B211" s="63" t="s">
        <v>1264</v>
      </c>
      <c r="C211" s="64" t="n">
        <f aca="false">SUM(E211:P211)</f>
        <v>1485153.39225642</v>
      </c>
      <c r="D211" s="64" t="n">
        <f aca="false">SUM(Q211:AB211)</f>
        <v>1765098.66001435</v>
      </c>
      <c r="E211" s="65" t="n">
        <f aca="false">IF(E$5="A",Inputs_Actuals!E313,Inputs_Actuals!$C$333)</f>
        <v>109567.68</v>
      </c>
      <c r="F211" s="65" t="n">
        <f aca="false">IF(F$5="A",Inputs_Actuals!F313,E212)</f>
        <v>117502.67</v>
      </c>
      <c r="G211" s="65" t="n">
        <f aca="false">IF(G$5="A",Inputs_Actuals!G313,F212)</f>
        <v>118966.84</v>
      </c>
      <c r="H211" s="65" t="n">
        <f aca="false">IF(H$5="A",Inputs_Actuals!H313,G212)</f>
        <v>122596.28</v>
      </c>
      <c r="I211" s="65" t="n">
        <f aca="false">IF(I$5="A",Inputs_Actuals!I313,H212)</f>
        <v>128914.02</v>
      </c>
      <c r="J211" s="65" t="n">
        <f aca="false">IF(J$5="A",Inputs_Actuals!J313,I212)</f>
        <v>127183.02</v>
      </c>
      <c r="K211" s="65" t="n">
        <f aca="false">IF(K$5="A",Inputs_Actuals!K313,J212)</f>
        <v>127616.9</v>
      </c>
      <c r="L211" s="65" t="n">
        <f aca="false">IF(L$5="A",Inputs_Actuals!L313,K212)</f>
        <v>129488.2</v>
      </c>
      <c r="M211" s="65" t="n">
        <f aca="false">IF(M$5="A",Inputs_Actuals!M313,L212)</f>
        <v>125578.710805</v>
      </c>
      <c r="N211" s="65" t="n">
        <f aca="false">IF(N$5="A",Inputs_Actuals!N313,M212)</f>
        <v>125034.3194305</v>
      </c>
      <c r="O211" s="65" t="n">
        <f aca="false">IF(O$5="A",Inputs_Actuals!O313,N212)</f>
        <v>124826.721590066</v>
      </c>
      <c r="P211" s="65" t="n">
        <f aca="false">IF(P$5="A",Inputs_Actuals!P313,O212)</f>
        <v>127878.030430852</v>
      </c>
      <c r="Q211" s="65" t="n">
        <f aca="false">IF(Q$5="A",Inputs_Actuals!Q313,P212)</f>
        <v>127837.597548146</v>
      </c>
      <c r="R211" s="65" t="n">
        <f aca="false">IF(R$5="A",Inputs_Actuals!R313,Q212)</f>
        <v>144837.439615833</v>
      </c>
      <c r="S211" s="65" t="n">
        <f aca="false">IF(S$5="A",Inputs_Actuals!S313,R212)</f>
        <v>144087.939191486</v>
      </c>
      <c r="T211" s="65" t="n">
        <f aca="false">IF(T$5="A",Inputs_Actuals!T313,S212)</f>
        <v>146291.855999117</v>
      </c>
      <c r="U211" s="65" t="n">
        <f aca="false">IF(U$5="A",Inputs_Actuals!U313,T212)</f>
        <v>147643.09995993</v>
      </c>
      <c r="V211" s="65" t="n">
        <f aca="false">IF(V$5="A",Inputs_Actuals!V313,U212)</f>
        <v>148686.080925977</v>
      </c>
      <c r="W211" s="65" t="n">
        <f aca="false">IF(W$5="A",Inputs_Actuals!W313,V212)</f>
        <v>149707.378481412</v>
      </c>
      <c r="X211" s="65" t="n">
        <f aca="false">IF(X$5="A",Inputs_Actuals!X313,W212)</f>
        <v>149817.930082314</v>
      </c>
      <c r="Y211" s="65" t="n">
        <f aca="false">IF(Y$5="A",Inputs_Actuals!Y313,X212)</f>
        <v>149378.173291914</v>
      </c>
      <c r="Z211" s="65" t="n">
        <f aca="false">IF(Z$5="A",Inputs_Actuals!Z313,Y212)</f>
        <v>152226.568344033</v>
      </c>
      <c r="AA211" s="65" t="n">
        <f aca="false">IF(AA$5="A",Inputs_Actuals!AA313,Z212)</f>
        <v>152321.01810794</v>
      </c>
      <c r="AB211" s="65" t="n">
        <f aca="false">IF(AB$5="A",Inputs_Actuals!AB313,AA212)</f>
        <v>152263.578466251</v>
      </c>
    </row>
    <row r="212" customFormat="false" ht="15" hidden="false" customHeight="false" outlineLevel="0" collapsed="false">
      <c r="A212" s="59" t="s">
        <v>1265</v>
      </c>
      <c r="B212" s="60"/>
      <c r="C212" s="61" t="n">
        <f aca="false">P212</f>
        <v>127837.597548146</v>
      </c>
      <c r="D212" s="61" t="n">
        <f aca="false">AB212</f>
        <v>151832.185841633</v>
      </c>
      <c r="E212" s="62" t="n">
        <f aca="false">Inputs_Actuals!$C$333+E210-E211</f>
        <v>117502.667955</v>
      </c>
      <c r="F212" s="61" t="n">
        <f aca="false">E212+F210-F211</f>
        <v>118966.83707</v>
      </c>
      <c r="G212" s="61" t="n">
        <f aca="false">F212+G210-G211</f>
        <v>122596.27766</v>
      </c>
      <c r="H212" s="61" t="n">
        <f aca="false">G212+H210-H211</f>
        <v>128914.01949</v>
      </c>
      <c r="I212" s="61" t="n">
        <f aca="false">H212+I210-I211</f>
        <v>127183.017245</v>
      </c>
      <c r="J212" s="61" t="n">
        <f aca="false">I212+J210-J211</f>
        <v>127616.89423</v>
      </c>
      <c r="K212" s="61" t="n">
        <f aca="false">J212+K210-K211</f>
        <v>129488.19695</v>
      </c>
      <c r="L212" s="61" t="n">
        <f aca="false">K212+L210-L211</f>
        <v>125578.710805</v>
      </c>
      <c r="M212" s="61" t="n">
        <f aca="false">L212+M210-M211</f>
        <v>125034.3194305</v>
      </c>
      <c r="N212" s="61" t="n">
        <f aca="false">M212+N210-N211</f>
        <v>124826.721590066</v>
      </c>
      <c r="O212" s="61" t="n">
        <f aca="false">N212+O210-O211</f>
        <v>127878.030430852</v>
      </c>
      <c r="P212" s="61" t="n">
        <f aca="false">O212+P210-P211</f>
        <v>127837.597548146</v>
      </c>
      <c r="Q212" s="61" t="n">
        <f aca="false">P212+Q210-Q211</f>
        <v>144837.439615833</v>
      </c>
      <c r="R212" s="61" t="n">
        <f aca="false">Q212+R210-R211</f>
        <v>144087.939191486</v>
      </c>
      <c r="S212" s="61" t="n">
        <f aca="false">R212+S210-S211</f>
        <v>146291.855999117</v>
      </c>
      <c r="T212" s="61" t="n">
        <f aca="false">S212+T210-T211</f>
        <v>147643.09995993</v>
      </c>
      <c r="U212" s="61" t="n">
        <f aca="false">T212+U210-U211</f>
        <v>148686.080925977</v>
      </c>
      <c r="V212" s="61" t="n">
        <f aca="false">U212+V210-V211</f>
        <v>149707.378481412</v>
      </c>
      <c r="W212" s="61" t="n">
        <f aca="false">V212+W210-W211</f>
        <v>149817.930082314</v>
      </c>
      <c r="X212" s="61" t="n">
        <f aca="false">W212+X210-X211</f>
        <v>149378.173291914</v>
      </c>
      <c r="Y212" s="61" t="n">
        <f aca="false">X212+Y210-Y211</f>
        <v>152226.568344033</v>
      </c>
      <c r="Z212" s="61" t="n">
        <f aca="false">Y212+Z210-Z211</f>
        <v>152321.01810794</v>
      </c>
      <c r="AA212" s="61" t="n">
        <f aca="false">Z212+AA210-AA211</f>
        <v>152263.578466251</v>
      </c>
      <c r="AB212" s="61" t="n">
        <f aca="false">AA212+AB210-AB211</f>
        <v>151832.185841633</v>
      </c>
    </row>
    <row r="213" customFormat="false" ht="15" hidden="false" customHeight="false" outlineLevel="0" collapsed="false">
      <c r="A213" s="28" t="s">
        <v>1266</v>
      </c>
      <c r="B213" s="63"/>
      <c r="C213" s="64" t="n">
        <f aca="false">SUM(E213:P213)</f>
        <v>567579.802540056</v>
      </c>
      <c r="D213" s="64" t="n">
        <f aca="false">SUM(Q213:AB213)</f>
        <v>670413.03530772</v>
      </c>
      <c r="E213" s="74" t="n">
        <f aca="false">E124+E134+E144+E154+E164+E174+E184+E194</f>
        <v>44261.9</v>
      </c>
      <c r="F213" s="74" t="n">
        <f aca="false">F124+F134+F144+F154+F164+F174+F184+F194</f>
        <v>45333.33</v>
      </c>
      <c r="G213" s="74" t="n">
        <f aca="false">G124+G134+G144+G154+G164+G174+G184+G194</f>
        <v>46357.14</v>
      </c>
      <c r="H213" s="74" t="n">
        <f aca="false">H124+H134+H144+H154+H164+H174+H184+H194</f>
        <v>47333.34</v>
      </c>
      <c r="I213" s="74" t="n">
        <f aca="false">I124+I134+I144+I154+I164+I174+I184+I194</f>
        <v>48178.58</v>
      </c>
      <c r="J213" s="74" t="n">
        <f aca="false">J124+J134+J144+J154+J164+J174+J184+J194</f>
        <v>48678.58</v>
      </c>
      <c r="K213" s="74" t="n">
        <f aca="false">K124+K134+K144+K154+K164+K174+K184+K194</f>
        <v>48523.82</v>
      </c>
      <c r="L213" s="74" t="n">
        <f aca="false">L124+L134+L144+L154+L164+L174+L184+L194</f>
        <v>47666.67</v>
      </c>
      <c r="M213" s="74" t="n">
        <f aca="false">M124+M134+M144+M154+M164+M174+M184+M194</f>
        <v>47605.2976190476</v>
      </c>
      <c r="N213" s="74" t="n">
        <f aca="false">N124+N134+N144+N154+N164+N174+N184+N194</f>
        <v>47523.1095568783</v>
      </c>
      <c r="O213" s="74" t="n">
        <f aca="false">O124+O134+O144+O154+O164+O174+O184+O194</f>
        <v>48063.7137589286</v>
      </c>
      <c r="P213" s="74" t="n">
        <f aca="false">P124+P134+P144+P154+P164+P174+P184+P194</f>
        <v>48054.3216052013</v>
      </c>
      <c r="Q213" s="74" t="n">
        <f aca="false">Q124+Q134+Q144+Q154+Q164+Q174+Q184+Q194</f>
        <v>54111.1550894902</v>
      </c>
      <c r="R213" s="74" t="n">
        <f aca="false">R124+R134+R144+R154+R164+R174+R184+R194</f>
        <v>54055.5231631333</v>
      </c>
      <c r="S213" s="74" t="n">
        <f aca="false">S124+S134+S144+S154+S164+S174+S184+S194</f>
        <v>54789.0818519212</v>
      </c>
      <c r="T213" s="74" t="n">
        <f aca="false">T124+T134+T144+T154+T164+T174+T184+T194</f>
        <v>55320.2048344726</v>
      </c>
      <c r="U213" s="74" t="n">
        <f aca="false">U124+U134+U144+U154+U164+U174+U184+U194</f>
        <v>56165.6430059883</v>
      </c>
      <c r="V213" s="74" t="n">
        <f aca="false">V124+V134+V144+V154+V164+V174+V184+V194</f>
        <v>56147.0076464324</v>
      </c>
      <c r="W213" s="74" t="n">
        <f aca="false">W124+W134+W144+W154+W164+W174+W184+W194</f>
        <v>56133.8818912205</v>
      </c>
      <c r="X213" s="74" t="n">
        <f aca="false">X124+X134+X144+X154+X164+X174+X184+X194</f>
        <v>56134.3810776666</v>
      </c>
      <c r="Y213" s="74" t="n">
        <f aca="false">Y124+Y134+Y144+Y154+Y164+Y174+Y184+Y194</f>
        <v>56898.5230652464</v>
      </c>
      <c r="Z213" s="74" t="n">
        <f aca="false">Z124+Z134+Z144+Z154+Z164+Z174+Z184+Z194</f>
        <v>56890.8714469468</v>
      </c>
      <c r="AA213" s="74" t="n">
        <f aca="false">AA124+AA134+AA144+AA154+AA164+AA174+AA184+AA194</f>
        <v>56883.3049595616</v>
      </c>
      <c r="AB213" s="74" t="n">
        <f aca="false">AB124+AB134+AB144+AB154+AB164+AB174+AB184+AB194</f>
        <v>56883.4572756398</v>
      </c>
    </row>
    <row r="214" customFormat="false" ht="15" hidden="false" customHeight="false" outlineLevel="0" collapsed="false">
      <c r="A214" s="28" t="s">
        <v>1267</v>
      </c>
      <c r="B214" s="63"/>
      <c r="C214" s="64" t="n">
        <f aca="false">SUM(E214:P214)</f>
        <v>567579.802540056</v>
      </c>
      <c r="D214" s="64" t="n">
        <f aca="false">SUM(Q214:AB214)</f>
        <v>670413.03530772</v>
      </c>
      <c r="E214" s="74" t="n">
        <f aca="false">E125+E135+E145+E155+E165+E175+E185+E195</f>
        <v>0</v>
      </c>
      <c r="F214" s="74" t="n">
        <f aca="false">F125+F135+F145+F155+F165+F175+F185+F195</f>
        <v>0</v>
      </c>
      <c r="G214" s="74" t="n">
        <f aca="false">G125+G135+G145+G155+G165+G175+G185+G195</f>
        <v>0</v>
      </c>
      <c r="H214" s="74" t="n">
        <f aca="false">H125+H135+H145+H155+H165+H175+H185+H195</f>
        <v>0</v>
      </c>
      <c r="I214" s="74" t="n">
        <f aca="false">I125+I135+I145+I155+I165+I175+I185+I195</f>
        <v>0</v>
      </c>
      <c r="J214" s="74" t="n">
        <f aca="false">J125+J135+J145+J155+J165+J175+J185+J195</f>
        <v>280142.87</v>
      </c>
      <c r="K214" s="74" t="n">
        <f aca="false">K125+K135+K145+K155+K165+K175+K185+K195</f>
        <v>0</v>
      </c>
      <c r="L214" s="74" t="n">
        <f aca="false">L125+L135+L145+L155+L165+L175+L185+L195</f>
        <v>0</v>
      </c>
      <c r="M214" s="74" t="n">
        <f aca="false">M125+M135+M145+M155+M165+M175+M185+M195</f>
        <v>0</v>
      </c>
      <c r="N214" s="74" t="n">
        <f aca="false">N125+N135+N145+N155+N165+N175+N185+N195</f>
        <v>0</v>
      </c>
      <c r="O214" s="74" t="n">
        <f aca="false">O125+O135+O145+O155+O165+O175+O185+O195</f>
        <v>0</v>
      </c>
      <c r="P214" s="74" t="n">
        <f aca="false">P125+P135+P145+P155+P165+P175+P185+P195</f>
        <v>287436.932540056</v>
      </c>
      <c r="Q214" s="74" t="n">
        <f aca="false">Q125+Q135+Q145+Q155+Q165+Q175+Q185+Q195</f>
        <v>0</v>
      </c>
      <c r="R214" s="74" t="n">
        <f aca="false">R125+R135+R145+R155+R165+R175+R185+R195</f>
        <v>0</v>
      </c>
      <c r="S214" s="74" t="n">
        <f aca="false">S125+S135+S145+S155+S165+S175+S185+S195</f>
        <v>0</v>
      </c>
      <c r="T214" s="74" t="n">
        <f aca="false">T125+T135+T145+T155+T165+T175+T185+T195</f>
        <v>0</v>
      </c>
      <c r="U214" s="74" t="n">
        <f aca="false">U125+U135+U145+U155+U165+U175+U185+U195</f>
        <v>0</v>
      </c>
      <c r="V214" s="74" t="n">
        <f aca="false">V125+V135+V145+V155+V165+V175+V185+V195</f>
        <v>330588.615591438</v>
      </c>
      <c r="W214" s="74" t="n">
        <f aca="false">W125+W135+W145+W155+W165+W175+W185+W195</f>
        <v>0</v>
      </c>
      <c r="X214" s="74" t="n">
        <f aca="false">X125+X135+X145+X155+X165+X175+X185+X195</f>
        <v>0</v>
      </c>
      <c r="Y214" s="74" t="n">
        <f aca="false">Y125+Y135+Y145+Y155+Y165+Y175+Y185+Y195</f>
        <v>0</v>
      </c>
      <c r="Z214" s="74" t="n">
        <f aca="false">Z125+Z135+Z145+Z155+Z165+Z175+Z185+Z195</f>
        <v>0</v>
      </c>
      <c r="AA214" s="74" t="n">
        <f aca="false">AA125+AA135+AA145+AA155+AA165+AA175+AA185+AA195</f>
        <v>0</v>
      </c>
      <c r="AB214" s="74" t="n">
        <f aca="false">AB125+AB135+AB145+AB155+AB165+AB175+AB185+AB195</f>
        <v>339824.419716282</v>
      </c>
    </row>
    <row r="215" customFormat="false" ht="15" hidden="false" customHeight="false" outlineLevel="0" collapsed="false">
      <c r="A215" s="59" t="s">
        <v>1268</v>
      </c>
      <c r="B215" s="60" t="s">
        <v>1269</v>
      </c>
      <c r="C215" s="61" t="n">
        <f aca="false">P215</f>
        <v>0</v>
      </c>
      <c r="D215" s="61" t="n">
        <f aca="false">AB215</f>
        <v>0</v>
      </c>
      <c r="E215" s="62" t="n">
        <f aca="false">Inputs_Actuals!$C$338+E213-E214</f>
        <v>44261.9</v>
      </c>
      <c r="F215" s="61" t="n">
        <f aca="false">E215+F213-F214</f>
        <v>89595.23</v>
      </c>
      <c r="G215" s="61" t="n">
        <f aca="false">F215+G213-G214</f>
        <v>135952.37</v>
      </c>
      <c r="H215" s="61" t="n">
        <f aca="false">G215+H213-H214</f>
        <v>183285.71</v>
      </c>
      <c r="I215" s="61" t="n">
        <f aca="false">H215+I213-I214</f>
        <v>231464.29</v>
      </c>
      <c r="J215" s="61" t="n">
        <f aca="false">I215+J213-J214</f>
        <v>0</v>
      </c>
      <c r="K215" s="61" t="n">
        <f aca="false">J215+K213-K214</f>
        <v>48523.82</v>
      </c>
      <c r="L215" s="61" t="n">
        <f aca="false">K215+L213-L214</f>
        <v>96190.49</v>
      </c>
      <c r="M215" s="61" t="n">
        <f aca="false">L215+M213-M214</f>
        <v>143795.787619048</v>
      </c>
      <c r="N215" s="61" t="n">
        <f aca="false">M215+N213-N214</f>
        <v>191318.897175926</v>
      </c>
      <c r="O215" s="61" t="n">
        <f aca="false">N215+O213-O214</f>
        <v>239382.610934854</v>
      </c>
      <c r="P215" s="61" t="n">
        <f aca="false">O215+P213-P214</f>
        <v>0</v>
      </c>
      <c r="Q215" s="61" t="n">
        <f aca="false">P215+Q213-Q214</f>
        <v>54111.1550894902</v>
      </c>
      <c r="R215" s="61" t="n">
        <f aca="false">Q215+R213-R214</f>
        <v>108166.678252623</v>
      </c>
      <c r="S215" s="61" t="n">
        <f aca="false">R215+S213-S214</f>
        <v>162955.760104545</v>
      </c>
      <c r="T215" s="61" t="n">
        <f aca="false">S215+T213-T214</f>
        <v>218275.964939017</v>
      </c>
      <c r="U215" s="61" t="n">
        <f aca="false">T215+U213-U214</f>
        <v>274441.607945006</v>
      </c>
      <c r="V215" s="61" t="n">
        <f aca="false">U215+V213-V214</f>
        <v>0</v>
      </c>
      <c r="W215" s="61" t="n">
        <f aca="false">V215+W213-W214</f>
        <v>56133.8818912205</v>
      </c>
      <c r="X215" s="61" t="n">
        <f aca="false">W215+X213-X214</f>
        <v>112268.262968887</v>
      </c>
      <c r="Y215" s="61" t="n">
        <f aca="false">X215+Y213-Y214</f>
        <v>169166.786034134</v>
      </c>
      <c r="Z215" s="61" t="n">
        <f aca="false">Y215+Z213-Z214</f>
        <v>226057.65748108</v>
      </c>
      <c r="AA215" s="61" t="n">
        <f aca="false">Z215+AA213-AA214</f>
        <v>282940.962440642</v>
      </c>
      <c r="AB215" s="61" t="n">
        <f aca="false">AA215+AB213-AB214</f>
        <v>0</v>
      </c>
    </row>
    <row r="216" customFormat="false" ht="15" hidden="false" customHeight="false" outlineLevel="0" collapsed="false">
      <c r="A216" s="28" t="s">
        <v>1270</v>
      </c>
      <c r="B216" s="63"/>
      <c r="C216" s="64" t="n">
        <f aca="false">SUM(E216:P216)</f>
        <v>793048.491447004</v>
      </c>
      <c r="D216" s="64" t="n">
        <f aca="false">SUM(Q216:AB216)</f>
        <v>928208.267725576</v>
      </c>
      <c r="E216" s="74" t="n">
        <f aca="false">E127+E137+E147+E157+E167+E177+E187+E197+E203</f>
        <v>52878.7324</v>
      </c>
      <c r="F216" s="74" t="n">
        <f aca="false">F127+F137+F147+F157+F167+F177+F187+F197+F203</f>
        <v>55464.6926</v>
      </c>
      <c r="G216" s="74" t="n">
        <f aca="false">G127+G137+G147+G157+G167+G177+G187+G197+G203</f>
        <v>55450.8638</v>
      </c>
      <c r="H216" s="74" t="n">
        <f aca="false">H127+H137+H147+H157+H167+H177+H187+H197+H203</f>
        <v>57240.5988</v>
      </c>
      <c r="I216" s="74" t="n">
        <f aca="false">I127+I137+I147+I157+I167+I177+I187+I197+I203</f>
        <v>59832.8436</v>
      </c>
      <c r="J216" s="74" t="n">
        <f aca="false">J127+J137+J147+J157+J167+J177+J187+J197+J203</f>
        <v>112321.2866</v>
      </c>
      <c r="K216" s="74" t="n">
        <f aca="false">K127+K137+K147+K157+K167+K177+K187+K197+K203</f>
        <v>57573.0762</v>
      </c>
      <c r="L216" s="74" t="n">
        <f aca="false">L127+L137+L147+L157+L167+L177+L187+L197+L203</f>
        <v>57973.9624</v>
      </c>
      <c r="M216" s="74" t="n">
        <f aca="false">M127+M137+M147+M157+M167+M177+M187+M197+M203</f>
        <v>56707.8329809524</v>
      </c>
      <c r="N216" s="74" t="n">
        <f aca="false">N127+N137+N147+N157+N167+N177+N187+N197+N203</f>
        <v>56596.1836421811</v>
      </c>
      <c r="O216" s="74" t="n">
        <f aca="false">O127+O137+O147+O157+O167+O177+O187+O197+O203</f>
        <v>57146.5738979387</v>
      </c>
      <c r="P216" s="74" t="n">
        <f aca="false">P127+P137+P147+P157+P167+P177+P187+P197+P203</f>
        <v>113861.844525931</v>
      </c>
      <c r="Q216" s="74" t="n">
        <f aca="false">Q127+Q137+Q147+Q157+Q167+Q177+Q187+Q197+Q203</f>
        <v>65049.1698002375</v>
      </c>
      <c r="R216" s="74" t="n">
        <f aca="false">R127+R137+R147+R157+R167+R177+R187+R197+R203</f>
        <v>65242.4849509753</v>
      </c>
      <c r="S216" s="74" t="n">
        <f aca="false">S127+S137+S147+S157+S167+S177+S187+S197+S203</f>
        <v>65421.5103807766</v>
      </c>
      <c r="T216" s="74" t="n">
        <f aca="false">T127+T137+T147+T157+T167+T177+T187+T197+T203</f>
        <v>66196.9481105873</v>
      </c>
      <c r="U216" s="74" t="n">
        <f aca="false">U127+U137+U147+U157+U167+U177+U187+U197+U203</f>
        <v>66868.7229478123</v>
      </c>
      <c r="V216" s="74" t="n">
        <f aca="false">V127+V137+V147+V157+V167+V177+V187+V197+V203</f>
        <v>130215.813378158</v>
      </c>
      <c r="W216" s="74" t="n">
        <f aca="false">W127+W137+W147+W157+W167+W177+W187+W197+W203</f>
        <v>66896.2210039684</v>
      </c>
      <c r="X216" s="74" t="n">
        <f aca="false">X127+X137+X147+X157+X167+X177+X187+X197+X203</f>
        <v>66829.3464517114</v>
      </c>
      <c r="Y216" s="74" t="n">
        <f aca="false">Y127+Y137+Y147+Y157+Y167+Y177+Y187+Y197+Y203</f>
        <v>67192.647910668</v>
      </c>
      <c r="Z216" s="74" t="n">
        <f aca="false">Z127+Z137+Z147+Z157+Z167+Z177+Z187+Z197+Z203</f>
        <v>67666.9566438286</v>
      </c>
      <c r="AA216" s="74" t="n">
        <f aca="false">AA127+AA137+AA147+AA157+AA167+AA177+AA187+AA197+AA203</f>
        <v>67628.2367809659</v>
      </c>
      <c r="AB216" s="74" t="n">
        <f aca="false">AB127+AB137+AB147+AB157+AB167+AB177+AB187+AB197+AB203</f>
        <v>133000.209365887</v>
      </c>
    </row>
    <row r="217" customFormat="false" ht="15" hidden="false" customHeight="false" outlineLevel="0" collapsed="false">
      <c r="A217" s="28" t="s">
        <v>1271</v>
      </c>
      <c r="B217" s="63"/>
      <c r="C217" s="64" t="n">
        <f aca="false">SUM(E217:P217)</f>
        <v>3034604.7016914</v>
      </c>
      <c r="D217" s="64" t="n">
        <f aca="false">SUM(Q217:AB217)</f>
        <v>3586951.01449645</v>
      </c>
      <c r="E217" s="74" t="n">
        <f aca="false">E128+E138+E148+E158+E168+E178+E188+E198+E205</f>
        <v>197350.8384</v>
      </c>
      <c r="F217" s="74" t="n">
        <f aca="false">F128+F138+F148+F158+F168+F178+F188+F198+F205</f>
        <v>208322.35535</v>
      </c>
      <c r="G217" s="74" t="n">
        <f aca="false">G128+G138+G148+G158+G168+G178+G188+G198+G205</f>
        <v>207557.49205</v>
      </c>
      <c r="H217" s="74" t="n">
        <f aca="false">H128+H138+H148+H158+H168+H178+H188+H198+H205</f>
        <v>216689.8308</v>
      </c>
      <c r="I217" s="74" t="n">
        <f aca="false">I128+I138+I148+I158+I168+I178+I188+I198+I205</f>
        <v>226693.3651</v>
      </c>
      <c r="J217" s="74" t="n">
        <f aca="false">J128+J138+J148+J158+J168+J178+J188+J198+J205</f>
        <v>443426.19435</v>
      </c>
      <c r="K217" s="74" t="n">
        <f aca="false">K128+K138+K148+K158+K168+K178+K188+K198+K205</f>
        <v>217933.47795</v>
      </c>
      <c r="L217" s="74" t="n">
        <f aca="false">L128+L138+L148+L158+L168+L178+L188+L198+L205</f>
        <v>219876.9459</v>
      </c>
      <c r="M217" s="74" t="n">
        <f aca="false">M128+M138+M148+M158+M168+M178+M188+M198+M205</f>
        <v>214370.514930366</v>
      </c>
      <c r="N217" s="74" t="n">
        <f aca="false">N128+N138+N148+N158+N168+N178+N188+N198+N205</f>
        <v>214169.624491585</v>
      </c>
      <c r="O217" s="74" t="n">
        <f aca="false">O128+O138+O148+O158+O168+O178+O188+O198+O205</f>
        <v>216441.96771415</v>
      </c>
      <c r="P217" s="74" t="n">
        <f aca="false">P128+P138+P148+P158+P168+P178+P188+P198+P205</f>
        <v>451772.094655298</v>
      </c>
      <c r="Q217" s="74" t="n">
        <f aca="false">Q128+Q138+Q148+Q158+Q168+Q178+Q188+Q198+Q205</f>
        <v>245700.825074701</v>
      </c>
      <c r="R217" s="74" t="n">
        <f aca="false">R128+R138+R148+R158+R168+R178+R188+R198+R205</f>
        <v>246540.577456536</v>
      </c>
      <c r="S217" s="74" t="n">
        <f aca="false">S128+S138+S148+S158+S168+S178+S188+S198+S205</f>
        <v>248420.52341826</v>
      </c>
      <c r="T217" s="74" t="n">
        <f aca="false">T128+T138+T148+T158+T168+T178+T188+T198+T205</f>
        <v>251616.636932596</v>
      </c>
      <c r="U217" s="74" t="n">
        <f aca="false">U128+U138+U148+U158+U168+U178+U188+U198+U205</f>
        <v>255164.456852055</v>
      </c>
      <c r="V217" s="74" t="n">
        <f aca="false">V128+V138+V148+V158+V168+V178+V188+V198+V205</f>
        <v>518770.895357908</v>
      </c>
      <c r="W217" s="74" t="n">
        <f aca="false">W128+W138+W148+W158+W168+W178+W188+W198+W205</f>
        <v>255252.358725865</v>
      </c>
      <c r="X217" s="74" t="n">
        <f aca="false">X128+X138+X148+X158+X168+X178+X188+X198+X205</f>
        <v>254972.481357738</v>
      </c>
      <c r="Y217" s="74" t="n">
        <f aca="false">Y128+Y138+Y148+Y158+Y168+Y178+Y188+Y198+Y205</f>
        <v>257636.584418589</v>
      </c>
      <c r="Z217" s="74" t="n">
        <f aca="false">Z128+Z138+Z148+Z158+Z168+Z178+Z188+Z198+Z205</f>
        <v>259614.098535315</v>
      </c>
      <c r="AA217" s="74" t="n">
        <f aca="false">AA128+AA138+AA148+AA158+AA168+AA178+AA188+AA198+AA205</f>
        <v>259440.438302541</v>
      </c>
      <c r="AB217" s="74" t="n">
        <f aca="false">AB128+AB138+AB148+AB158+AB168+AB178+AB188+AB198+AB205</f>
        <v>533821.138064351</v>
      </c>
    </row>
    <row r="218" customFormat="false" ht="15" hidden="false" customHeight="false" outlineLevel="0" collapsed="false">
      <c r="A218" s="28" t="s">
        <v>1272</v>
      </c>
      <c r="B218" s="63" t="s">
        <v>1273</v>
      </c>
      <c r="C218" s="64" t="n">
        <f aca="false">SUM(E218:P218)</f>
        <v>0</v>
      </c>
      <c r="D218" s="64" t="n">
        <f aca="false">SUM(Q218:AB218)</f>
        <v>0</v>
      </c>
      <c r="E218" s="65" t="n">
        <f aca="false">IF(E$5="A",0,IF(Assumptions!E$188=Assumptions!$F$180,Assumptions!$F$179*(Assumptions!$G$78*Assumptions!$D$78+Assumptions!$G$82*Assumptions!$D$82+Assumptions!$G$88*Assumptions!$D$88+Assumptions!$G$87*Assumptions!$D$87)/365*Assumptions!$C$71*Assumptions!$C$72,0))</f>
        <v>0</v>
      </c>
      <c r="F218" s="65" t="n">
        <f aca="false">IF(F$5="A",0,IF(Assumptions!F$188=Assumptions!$F$180,Assumptions!$F$179*(Assumptions!$G$78*Assumptions!$D$78+Assumptions!$G$82*Assumptions!$D$82+Assumptions!$G$88*Assumptions!$D$88+Assumptions!$G$87*Assumptions!$D$87)/365*Assumptions!$C$71*Assumptions!$C$72,0))</f>
        <v>0</v>
      </c>
      <c r="G218" s="65" t="n">
        <f aca="false">IF(G$5="A",0,IF(Assumptions!G$188=Assumptions!$F$180,Assumptions!$F$179*(Assumptions!$G$78*Assumptions!$D$78+Assumptions!$G$82*Assumptions!$D$82+Assumptions!$G$88*Assumptions!$D$88+Assumptions!$G$87*Assumptions!$D$87)/365*Assumptions!$C$71*Assumptions!$C$72,0))</f>
        <v>0</v>
      </c>
      <c r="H218" s="65" t="n">
        <f aca="false">IF(H$5="A",0,IF(Assumptions!H$188=Assumptions!$F$180,Assumptions!$F$179*(Assumptions!$G$78*Assumptions!$D$78+Assumptions!$G$82*Assumptions!$D$82+Assumptions!$G$88*Assumptions!$D$88+Assumptions!$G$87*Assumptions!$D$87)/365*Assumptions!$C$71*Assumptions!$C$72,0))</f>
        <v>0</v>
      </c>
      <c r="I218" s="65" t="n">
        <f aca="false">IF(I$5="A",0,IF(Assumptions!I$188=Assumptions!$F$180,Assumptions!$F$179*(Assumptions!$G$78*Assumptions!$D$78+Assumptions!$G$82*Assumptions!$D$82+Assumptions!$G$88*Assumptions!$D$88+Assumptions!$G$87*Assumptions!$D$87)/365*Assumptions!$C$71*Assumptions!$C$72,0))</f>
        <v>0</v>
      </c>
      <c r="J218" s="65" t="n">
        <f aca="false">IF(J$5="A",0,IF(Assumptions!J$188=Assumptions!$F$180,Assumptions!$F$179*(Assumptions!$G$78*Assumptions!$D$78+Assumptions!$G$82*Assumptions!$D$82+Assumptions!$G$88*Assumptions!$D$88+Assumptions!$G$87*Assumptions!$D$87)/365*Assumptions!$C$71*Assumptions!$C$72,0))</f>
        <v>0</v>
      </c>
      <c r="K218" s="65" t="n">
        <f aca="false">IF(K$5="A",0,IF(Assumptions!K$188=Assumptions!$F$180,Assumptions!$F$179*(Assumptions!$G$78*Assumptions!$D$78+Assumptions!$G$82*Assumptions!$D$82+Assumptions!$G$88*Assumptions!$D$88+Assumptions!$G$87*Assumptions!$D$87)/365*Assumptions!$C$71*Assumptions!$C$72,0))</f>
        <v>0</v>
      </c>
      <c r="L218" s="65" t="n">
        <f aca="false">IF(L$5="A",0,IF(Assumptions!L$188=Assumptions!$F$180,Assumptions!$F$179*(Assumptions!$G$78*Assumptions!$D$78+Assumptions!$G$82*Assumptions!$D$82+Assumptions!$G$88*Assumptions!$D$88+Assumptions!$G$87*Assumptions!$D$87)/365*Assumptions!$C$71*Assumptions!$C$72,0))</f>
        <v>0</v>
      </c>
      <c r="M218" s="65" t="n">
        <f aca="false">IF(M$5="A",0,IF(Assumptions!M$188=Assumptions!$F$180,Assumptions!$F$179*(Assumptions!$G$78*Assumptions!$D$78+Assumptions!$G$82*Assumptions!$D$82+Assumptions!$G$88*Assumptions!$D$88+Assumptions!$G$87*Assumptions!$D$87)/365*Assumptions!$C$71*Assumptions!$C$72,0))</f>
        <v>0</v>
      </c>
      <c r="N218" s="65" t="n">
        <f aca="false">IF(N$5="A",0,IF(Assumptions!N$188=Assumptions!$F$180,Assumptions!$F$179*(Assumptions!$G$78*Assumptions!$D$78+Assumptions!$G$82*Assumptions!$D$82+Assumptions!$G$88*Assumptions!$D$88+Assumptions!$G$87*Assumptions!$D$87)/365*Assumptions!$C$71*Assumptions!$C$72,0))</f>
        <v>0</v>
      </c>
      <c r="O218" s="65" t="n">
        <f aca="false">IF(O$5="A",0,IF(Assumptions!O$188=Assumptions!$F$180,Assumptions!$F$179*(Assumptions!$G$78*Assumptions!$D$78+Assumptions!$G$82*Assumptions!$D$82+Assumptions!$G$88*Assumptions!$D$88+Assumptions!$G$87*Assumptions!$D$87)/365*Assumptions!$C$71*Assumptions!$C$72,0))</f>
        <v>0</v>
      </c>
      <c r="P218" s="65" t="n">
        <f aca="false">IF(P$5="A",0,IF(Assumptions!P$188=Assumptions!$F$180,Assumptions!$F$179*(Assumptions!$G$78*Assumptions!$D$78+Assumptions!$G$82*Assumptions!$D$82+Assumptions!$G$88*Assumptions!$D$88+Assumptions!$G$87*Assumptions!$D$87)/365*Assumptions!$C$71*Assumptions!$C$72,0))</f>
        <v>0</v>
      </c>
      <c r="Q218" s="65" t="n">
        <f aca="false">IF(Q$5="A",0,IF(Assumptions!Q$188=Assumptions!$F$180,Assumptions!$F$179*(Assumptions!$G$78*Assumptions!$D$78+Assumptions!$G$82*Assumptions!$D$82+Assumptions!$G$88*Assumptions!$D$88+Assumptions!$G$87*Assumptions!$D$87)/365*Assumptions!$C$71*Assumptions!$C$72,0))</f>
        <v>0</v>
      </c>
      <c r="R218" s="65" t="n">
        <f aca="false">IF(R$5="A",0,IF(Assumptions!R$188=Assumptions!$F$180,Assumptions!$F$179*(Assumptions!$G$78*Assumptions!$D$78+Assumptions!$G$82*Assumptions!$D$82+Assumptions!$G$88*Assumptions!$D$88+Assumptions!$G$87*Assumptions!$D$87)/365*Assumptions!$C$71*Assumptions!$C$72,0))</f>
        <v>0</v>
      </c>
      <c r="S218" s="65" t="n">
        <f aca="false">IF(S$5="A",0,IF(Assumptions!S$188=Assumptions!$F$180,Assumptions!$F$179*(Assumptions!$G$78*Assumptions!$D$78+Assumptions!$G$82*Assumptions!$D$82+Assumptions!$G$88*Assumptions!$D$88+Assumptions!$G$87*Assumptions!$D$87)/365*Assumptions!$C$71*Assumptions!$C$72,0))</f>
        <v>0</v>
      </c>
      <c r="T218" s="65" t="n">
        <f aca="false">IF(T$5="A",0,IF(Assumptions!T$188=Assumptions!$F$180,Assumptions!$F$179*(Assumptions!$G$78*Assumptions!$D$78+Assumptions!$G$82*Assumptions!$D$82+Assumptions!$G$88*Assumptions!$D$88+Assumptions!$G$87*Assumptions!$D$87)/365*Assumptions!$C$71*Assumptions!$C$72,0))</f>
        <v>0</v>
      </c>
      <c r="U218" s="65" t="n">
        <f aca="false">IF(U$5="A",0,IF(Assumptions!U$188=Assumptions!$F$180,Assumptions!$F$179*(Assumptions!$G$78*Assumptions!$D$78+Assumptions!$G$82*Assumptions!$D$82+Assumptions!$G$88*Assumptions!$D$88+Assumptions!$G$87*Assumptions!$D$87)/365*Assumptions!$C$71*Assumptions!$C$72,0))</f>
        <v>0</v>
      </c>
      <c r="V218" s="65" t="n">
        <f aca="false">IF(V$5="A",0,IF(Assumptions!V$188=Assumptions!$F$180,Assumptions!$F$179*(Assumptions!$G$78*Assumptions!$D$78+Assumptions!$G$82*Assumptions!$D$82+Assumptions!$G$88*Assumptions!$D$88+Assumptions!$G$87*Assumptions!$D$87)/365*Assumptions!$C$71*Assumptions!$C$72,0))</f>
        <v>0</v>
      </c>
      <c r="W218" s="65" t="n">
        <f aca="false">IF(W$5="A",0,IF(Assumptions!W$188=Assumptions!$F$180,Assumptions!$F$179*(Assumptions!$G$78*Assumptions!$D$78+Assumptions!$G$82*Assumptions!$D$82+Assumptions!$G$88*Assumptions!$D$88+Assumptions!$G$87*Assumptions!$D$87)/365*Assumptions!$C$71*Assumptions!$C$72,0))</f>
        <v>0</v>
      </c>
      <c r="X218" s="65" t="n">
        <f aca="false">IF(X$5="A",0,IF(Assumptions!X$188=Assumptions!$F$180,Assumptions!$F$179*(Assumptions!$G$78*Assumptions!$D$78+Assumptions!$G$82*Assumptions!$D$82+Assumptions!$G$88*Assumptions!$D$88+Assumptions!$G$87*Assumptions!$D$87)/365*Assumptions!$C$71*Assumptions!$C$72,0))</f>
        <v>0</v>
      </c>
      <c r="Y218" s="65" t="n">
        <f aca="false">IF(Y$5="A",0,IF(Assumptions!Y$188=Assumptions!$F$180,Assumptions!$F$179*(Assumptions!$G$78*Assumptions!$D$78+Assumptions!$G$82*Assumptions!$D$82+Assumptions!$G$88*Assumptions!$D$88+Assumptions!$G$87*Assumptions!$D$87)/365*Assumptions!$C$71*Assumptions!$C$72,0))</f>
        <v>0</v>
      </c>
      <c r="Z218" s="65" t="n">
        <f aca="false">IF(Z$5="A",0,IF(Assumptions!Z$188=Assumptions!$F$180,Assumptions!$F$179*(Assumptions!$G$78*Assumptions!$D$78+Assumptions!$G$82*Assumptions!$D$82+Assumptions!$G$88*Assumptions!$D$88+Assumptions!$G$87*Assumptions!$D$87)/365*Assumptions!$C$71*Assumptions!$C$72,0))</f>
        <v>0</v>
      </c>
      <c r="AA218" s="65" t="n">
        <f aca="false">IF(AA$5="A",0,IF(Assumptions!AA$188=Assumptions!$F$180,Assumptions!$F$179*(Assumptions!$G$78*Assumptions!$D$78+Assumptions!$G$82*Assumptions!$D$82+Assumptions!$G$88*Assumptions!$D$88+Assumptions!$G$87*Assumptions!$D$87)/365*Assumptions!$C$71*Assumptions!$C$72,0))</f>
        <v>0</v>
      </c>
      <c r="AB218" s="65" t="n">
        <f aca="false">IF(AB$5="A",0,IF(Assumptions!AB$188=Assumptions!$F$180,Assumptions!$F$179*(Assumptions!$G$78*Assumptions!$D$78+Assumptions!$G$82*Assumptions!$D$82+Assumptions!$G$88*Assumptions!$D$88+Assumptions!$G$87*Assumptions!$D$87)/365*Assumptions!$C$71*Assumptions!$C$72,0))</f>
        <v>0</v>
      </c>
    </row>
    <row r="219" customFormat="false" ht="15" hidden="false" customHeight="false" outlineLevel="0" collapsed="false">
      <c r="A219" s="28" t="s">
        <v>1274</v>
      </c>
      <c r="B219" s="63" t="s">
        <v>1275</v>
      </c>
      <c r="C219" s="64" t="n">
        <f aca="false">SUM(E219:P219)</f>
        <v>23743.73125</v>
      </c>
      <c r="D219" s="64" t="n">
        <f aca="false">SUM(Q219:AB219)</f>
        <v>130823.693999453</v>
      </c>
      <c r="E219" s="65" t="n">
        <f aca="false">E41*Assumptions!$C$108</f>
        <v>0</v>
      </c>
      <c r="F219" s="65" t="n">
        <f aca="false">F41*Assumptions!$C$108</f>
        <v>0</v>
      </c>
      <c r="G219" s="65" t="n">
        <f aca="false">G41*Assumptions!$C$108</f>
        <v>0</v>
      </c>
      <c r="H219" s="65" t="n">
        <f aca="false">H41*Assumptions!$C$108</f>
        <v>0</v>
      </c>
      <c r="I219" s="65" t="n">
        <f aca="false">I41*Assumptions!$C$108</f>
        <v>0</v>
      </c>
      <c r="J219" s="65" t="n">
        <f aca="false">J41*Assumptions!$C$108</f>
        <v>0</v>
      </c>
      <c r="K219" s="65" t="n">
        <f aca="false">K41*Assumptions!$C$108</f>
        <v>0</v>
      </c>
      <c r="L219" s="65" t="n">
        <f aca="false">L41*Assumptions!$C$108</f>
        <v>0</v>
      </c>
      <c r="M219" s="65" t="n">
        <f aca="false">M41*Assumptions!$C$108</f>
        <v>4500</v>
      </c>
      <c r="N219" s="65" t="n">
        <f aca="false">N41*Assumptions!$C$108</f>
        <v>4500</v>
      </c>
      <c r="O219" s="65" t="n">
        <f aca="false">O41*Assumptions!$C$108</f>
        <v>9637.5</v>
      </c>
      <c r="P219" s="65" t="n">
        <f aca="false">P41*Assumptions!$C$108</f>
        <v>5106.23125</v>
      </c>
      <c r="Q219" s="65" t="n">
        <f aca="false">Q41*Assumptions!$C$108</f>
        <v>36587.0369270833</v>
      </c>
      <c r="R219" s="65" t="n">
        <f aca="false">R41*Assumptions!$C$108</f>
        <v>5182.16391737413</v>
      </c>
      <c r="S219" s="65" t="n">
        <f aca="false">S41*Assumptions!$C$108</f>
        <v>14180.7305702602</v>
      </c>
      <c r="T219" s="65" t="n">
        <f aca="false">T41*Assumptions!$C$108</f>
        <v>10095.0220369742</v>
      </c>
      <c r="U219" s="65" t="n">
        <f aca="false">U41*Assumptions!$C$108</f>
        <v>14588.8184288974</v>
      </c>
      <c r="V219" s="65" t="n">
        <f aca="false">V41*Assumptions!$C$108</f>
        <v>5732.69233063264</v>
      </c>
      <c r="W219" s="65" t="n">
        <f aca="false">W41*Assumptions!$C$108</f>
        <v>5775.24445432321</v>
      </c>
      <c r="X219" s="65" t="n">
        <f aca="false">X41*Assumptions!$C$108</f>
        <v>5922.2873301768</v>
      </c>
      <c r="Y219" s="65" t="n">
        <f aca="false">Y41*Assumptions!$C$108</f>
        <v>14919.2779089595</v>
      </c>
      <c r="Z219" s="65" t="n">
        <f aca="false">Z41*Assumptions!$C$108</f>
        <v>5916.72499712238</v>
      </c>
      <c r="AA219" s="65" t="n">
        <f aca="false">AA41*Assumptions!$C$108</f>
        <v>5916.82471008153</v>
      </c>
      <c r="AB219" s="65" t="n">
        <f aca="false">AB41*Assumptions!$C$108</f>
        <v>6006.87038756739</v>
      </c>
    </row>
    <row r="220" customFormat="false" ht="15" hidden="false" customHeight="false" outlineLevel="0" collapsed="false">
      <c r="A220" s="28" t="s">
        <v>1276</v>
      </c>
      <c r="B220" s="63"/>
      <c r="C220" s="68" t="n">
        <f aca="false">P220</f>
        <v>39.2382329278318</v>
      </c>
      <c r="D220" s="68" t="n">
        <f aca="false">AB220</f>
        <v>46.1039602634947</v>
      </c>
      <c r="E220" s="80" t="n">
        <f aca="false">E119+E129</f>
        <v>36</v>
      </c>
      <c r="F220" s="80" t="n">
        <f aca="false">F119+F129</f>
        <v>37</v>
      </c>
      <c r="G220" s="80" t="n">
        <f aca="false">G119+G129</f>
        <v>38</v>
      </c>
      <c r="H220" s="80" t="n">
        <f aca="false">H119+H129</f>
        <v>38</v>
      </c>
      <c r="I220" s="80" t="n">
        <f aca="false">I119+I129</f>
        <v>39</v>
      </c>
      <c r="J220" s="80" t="n">
        <f aca="false">J119+J129</f>
        <v>39</v>
      </c>
      <c r="K220" s="80" t="n">
        <f aca="false">K119+K129</f>
        <v>39</v>
      </c>
      <c r="L220" s="80" t="n">
        <f aca="false">L119+L129</f>
        <v>39</v>
      </c>
      <c r="M220" s="80" t="n">
        <f aca="false">M119+M129</f>
        <v>39.6216666666667</v>
      </c>
      <c r="N220" s="80" t="n">
        <f aca="false">N119+N129</f>
        <v>39.2370194444444</v>
      </c>
      <c r="O220" s="80" t="n">
        <f aca="false">O119+O129</f>
        <v>39.2344556157407</v>
      </c>
      <c r="P220" s="80" t="n">
        <f aca="false">P119+P129</f>
        <v>39.2382329278318</v>
      </c>
      <c r="Q220" s="80" t="n">
        <f aca="false">Q119+Q129</f>
        <v>43.2382231966036</v>
      </c>
      <c r="R220" s="80" t="n">
        <f aca="false">R119+R129</f>
        <v>43.1998529574184</v>
      </c>
      <c r="S220" s="80" t="n">
        <f aca="false">S119+S129</f>
        <v>43.1618895084539</v>
      </c>
      <c r="T220" s="80" t="n">
        <f aca="false">T119+T129</f>
        <v>44.1626251771025</v>
      </c>
      <c r="U220" s="80" t="n">
        <f aca="false">U119+U129</f>
        <v>44.1529839125465</v>
      </c>
      <c r="V220" s="80" t="n">
        <f aca="false">V119+V129</f>
        <v>44.1430733119272</v>
      </c>
      <c r="W220" s="80" t="n">
        <f aca="false">W119+W129</f>
        <v>44.1432689405701</v>
      </c>
      <c r="X220" s="80" t="n">
        <f aca="false">X119+X129</f>
        <v>44.1433660865114</v>
      </c>
      <c r="Y220" s="80" t="n">
        <f aca="false">Y119+Y129</f>
        <v>46.1433631578804</v>
      </c>
      <c r="Z220" s="80" t="n">
        <f aca="false">Z119+Z129</f>
        <v>46.1233622157462</v>
      </c>
      <c r="AA220" s="80" t="n">
        <f aca="false">AA119+AA129</f>
        <v>46.1035622544609</v>
      </c>
      <c r="AB220" s="80" t="n">
        <f aca="false">AB119+AB129</f>
        <v>46.1039602634947</v>
      </c>
    </row>
    <row r="221" customFormat="false" ht="15" hidden="false" customHeight="false" outlineLevel="0" collapsed="false">
      <c r="A221" s="28" t="s">
        <v>1277</v>
      </c>
      <c r="B221" s="63"/>
      <c r="C221" s="68" t="n">
        <f aca="false">P221</f>
        <v>22.2089891077112</v>
      </c>
      <c r="D221" s="68" t="n">
        <f aca="false">AB221</f>
        <v>26.0448779186634</v>
      </c>
      <c r="E221" s="80" t="n">
        <f aca="false">E169+E179</f>
        <v>20</v>
      </c>
      <c r="F221" s="80" t="n">
        <f aca="false">F169+F179</f>
        <v>21</v>
      </c>
      <c r="G221" s="80" t="n">
        <f aca="false">G169+G179</f>
        <v>22</v>
      </c>
      <c r="H221" s="80" t="n">
        <f aca="false">H169+H179</f>
        <v>23</v>
      </c>
      <c r="I221" s="80" t="n">
        <f aca="false">I169+I179</f>
        <v>23</v>
      </c>
      <c r="J221" s="80" t="n">
        <f aca="false">J169+J179</f>
        <v>23</v>
      </c>
      <c r="K221" s="80" t="n">
        <f aca="false">K169+K179</f>
        <v>23</v>
      </c>
      <c r="L221" s="80" t="n">
        <f aca="false">L169+L179</f>
        <v>22</v>
      </c>
      <c r="M221" s="80" t="n">
        <f aca="false">M169+M179</f>
        <v>21.6</v>
      </c>
      <c r="N221" s="80" t="n">
        <f aca="false">N169+N179</f>
        <v>21.2076041666667</v>
      </c>
      <c r="O221" s="80" t="n">
        <f aca="false">O169+O179</f>
        <v>22.2226631944444</v>
      </c>
      <c r="P221" s="80" t="n">
        <f aca="false">P169+P179</f>
        <v>22.2089891077112</v>
      </c>
      <c r="Q221" s="80" t="n">
        <f aca="false">Q169+Q179</f>
        <v>25.1881538108845</v>
      </c>
      <c r="R221" s="80" t="n">
        <f aca="false">R169+R179</f>
        <v>25.1347145278012</v>
      </c>
      <c r="S221" s="80" t="n">
        <f aca="false">S169+S179</f>
        <v>25.0819906399551</v>
      </c>
      <c r="T221" s="80" t="n">
        <f aca="false">T169+T179</f>
        <v>25.0839952414765</v>
      </c>
      <c r="U221" s="80" t="n">
        <f aca="false">U169+U179</f>
        <v>26.0849516233516</v>
      </c>
      <c r="V221" s="80" t="n">
        <f aca="false">V169+V179</f>
        <v>26.0640604453783</v>
      </c>
      <c r="W221" s="80" t="n">
        <f aca="false">W169+W179</f>
        <v>26.0436436256397</v>
      </c>
      <c r="X221" s="80" t="n">
        <f aca="false">X169+X179</f>
        <v>26.0445041458271</v>
      </c>
      <c r="Y221" s="80" t="n">
        <f aca="false">Y169+Y179</f>
        <v>26.0449115544564</v>
      </c>
      <c r="Z221" s="80" t="n">
        <f aca="false">Z169+Z179</f>
        <v>26.0448851402399</v>
      </c>
      <c r="AA221" s="80" t="n">
        <f aca="false">AA169+AA179</f>
        <v>26.0448772030227</v>
      </c>
      <c r="AB221" s="80" t="n">
        <f aca="false">AB169+AB179</f>
        <v>26.0448779186634</v>
      </c>
    </row>
    <row r="222" customFormat="false" ht="15" hidden="false" customHeight="false" outlineLevel="0" collapsed="false">
      <c r="A222" s="28" t="s">
        <v>1278</v>
      </c>
      <c r="B222" s="63"/>
      <c r="C222" s="68" t="n">
        <f aca="false">P222</f>
        <v>20.3628305037133</v>
      </c>
      <c r="D222" s="68" t="n">
        <f aca="false">AB222</f>
        <v>23.2741463242326</v>
      </c>
      <c r="E222" s="80" t="n">
        <f aca="false">E139+E149+E159</f>
        <v>18</v>
      </c>
      <c r="F222" s="80" t="n">
        <f aca="false">F139+F149+F159</f>
        <v>18</v>
      </c>
      <c r="G222" s="80" t="n">
        <f aca="false">G139+G149+G159</f>
        <v>18</v>
      </c>
      <c r="H222" s="80" t="n">
        <f aca="false">H139+H149+H159</f>
        <v>19</v>
      </c>
      <c r="I222" s="80" t="n">
        <f aca="false">I139+I149+I159</f>
        <v>20</v>
      </c>
      <c r="J222" s="80" t="n">
        <f aca="false">J139+J149+J159</f>
        <v>21</v>
      </c>
      <c r="K222" s="80" t="n">
        <f aca="false">K139+K149+K159</f>
        <v>21</v>
      </c>
      <c r="L222" s="80" t="n">
        <f aca="false">L139+L149+L159</f>
        <v>20</v>
      </c>
      <c r="M222" s="80" t="n">
        <f aca="false">M139+M149+M159</f>
        <v>19.6833333333333</v>
      </c>
      <c r="N222" s="80" t="n">
        <f aca="false">N139+N149+N159</f>
        <v>20.3720138888889</v>
      </c>
      <c r="O222" s="80" t="n">
        <f aca="false">O139+O149+O159</f>
        <v>20.3701125578704</v>
      </c>
      <c r="P222" s="80" t="n">
        <f aca="false">P139+P149+P159</f>
        <v>20.3628305037133</v>
      </c>
      <c r="Q222" s="80" t="n">
        <f aca="false">Q139+Q149+Q159</f>
        <v>20.3628608891792</v>
      </c>
      <c r="R222" s="80" t="n">
        <f aca="false">R139+R149+R159</f>
        <v>20.3629261542191</v>
      </c>
      <c r="S222" s="80" t="n">
        <f aca="false">S139+S149+S159</f>
        <v>22.3629272458309</v>
      </c>
      <c r="T222" s="80" t="n">
        <f aca="false">T139+T149+T159</f>
        <v>22.3295935641556</v>
      </c>
      <c r="U222" s="80" t="n">
        <f aca="false">U139+U149+U159</f>
        <v>23.296850441635</v>
      </c>
      <c r="V222" s="80" t="n">
        <f aca="false">V139+V149+V159</f>
        <v>23.2855199981898</v>
      </c>
      <c r="W222" s="80" t="n">
        <f aca="false">W139+W149+W159</f>
        <v>23.2737337549184</v>
      </c>
      <c r="X222" s="80" t="n">
        <f aca="false">X139+X149+X159</f>
        <v>23.2740121628012</v>
      </c>
      <c r="Y222" s="80" t="n">
        <f aca="false">Y139+Y149+Y159</f>
        <v>23.2741528381091</v>
      </c>
      <c r="Z222" s="80" t="n">
        <f aca="false">Z139+Z149+Z159</f>
        <v>23.274147885472</v>
      </c>
      <c r="AA222" s="80" t="n">
        <f aca="false">AA139+AA149+AA159</f>
        <v>23.2741462490789</v>
      </c>
      <c r="AB222" s="80" t="n">
        <f aca="false">AB139+AB149+AB159</f>
        <v>23.2741463242326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1279</v>
      </c>
    </row>
    <row r="3" customFormat="false" ht="15" hidden="false" customHeight="false" outlineLevel="0" collapsed="false">
      <c r="A3" s="50" t="s">
        <v>1280</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1281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1282</v>
      </c>
      <c r="B9" s="63" t="s">
        <v>1283</v>
      </c>
      <c r="C9" s="64" t="n">
        <f aca="false">SUM(E9:P9)</f>
        <v>664452.381782249</v>
      </c>
      <c r="D9" s="64" t="n">
        <f aca="false">SUM(Q9:AB9)</f>
        <v>792662.928074075</v>
      </c>
      <c r="E9" s="65" t="n">
        <f aca="false">IF(E$5="A",Inputs_Actuals!E294,Assumptions!$C$101*People!E122)</f>
        <v>51201.84</v>
      </c>
      <c r="F9" s="65" t="n">
        <f aca="false">IF(F$5="A",Inputs_Actuals!F294,Assumptions!$C$101*People!F122)</f>
        <v>52861.28</v>
      </c>
      <c r="G9" s="65" t="n">
        <f aca="false">IF(G$5="A",Inputs_Actuals!G294,Assumptions!$C$101*People!G122)</f>
        <v>54702.12</v>
      </c>
      <c r="H9" s="65" t="n">
        <f aca="false">IF(H$5="A",Inputs_Actuals!H294,Assumptions!$C$101*People!H122)</f>
        <v>55111.3</v>
      </c>
      <c r="I9" s="65" t="n">
        <f aca="false">IF(I$5="A",Inputs_Actuals!I294,Assumptions!$C$101*People!I122)</f>
        <v>56274.22</v>
      </c>
      <c r="J9" s="65" t="n">
        <f aca="false">IF(J$5="A",Inputs_Actuals!J294,Assumptions!$C$101*People!J122)</f>
        <v>56334.75</v>
      </c>
      <c r="K9" s="65" t="n">
        <f aca="false">IF(K$5="A",Inputs_Actuals!K294,Assumptions!$C$101*People!K122)</f>
        <v>55867.45</v>
      </c>
      <c r="L9" s="65" t="n">
        <f aca="false">IF(L$5="A",Inputs_Actuals!L294,Assumptions!$C$101*People!L122)</f>
        <v>56049.6</v>
      </c>
      <c r="M9" s="65" t="n">
        <f aca="false">IF(M$5="A",Inputs_Actuals!M294,Assumptions!$C$101*People!M122)</f>
        <v>56940.1810928896</v>
      </c>
      <c r="N9" s="65" t="n">
        <f aca="false">IF(N$5="A",Inputs_Actuals!N294,Assumptions!$C$101*People!N122)</f>
        <v>56370.7792819607</v>
      </c>
      <c r="O9" s="65" t="n">
        <f aca="false">IF(O$5="A",Inputs_Actuals!O294,Assumptions!$C$101*People!O122)</f>
        <v>56366.5626112915</v>
      </c>
      <c r="P9" s="65" t="n">
        <f aca="false">IF(P$5="A",Inputs_Actuals!P294,Assumptions!$C$101*People!P122)</f>
        <v>56372.2987961075</v>
      </c>
      <c r="Q9" s="65" t="n">
        <f aca="false">IF(Q$5="A",Inputs_Actuals!Q294,Assumptions!$C$101*People!Q122)</f>
        <v>64226.2796790597</v>
      </c>
      <c r="R9" s="65" t="n">
        <f aca="false">IF(R$5="A",Inputs_Actuals!R294,Assumptions!$C$101*People!R122)</f>
        <v>64167.8276568616</v>
      </c>
      <c r="S9" s="65" t="n">
        <f aca="false">IF(S$5="A",Inputs_Actuals!S294,Assumptions!$C$101*People!S122)</f>
        <v>64110.0195666408</v>
      </c>
      <c r="T9" s="65" t="n">
        <f aca="false">IF(T$5="A",Inputs_Actuals!T294,Assumptions!$C$101*People!T122)</f>
        <v>65716.983287765</v>
      </c>
      <c r="U9" s="65" t="n">
        <f aca="false">IF(U$5="A",Inputs_Actuals!U294,Assumptions!$C$101*People!U122)</f>
        <v>65701.4917314559</v>
      </c>
      <c r="V9" s="65" t="n">
        <f aca="false">IF(V$5="A",Inputs_Actuals!V294,Assumptions!$C$101*People!V122)</f>
        <v>65685.5770098078</v>
      </c>
      <c r="W9" s="65" t="n">
        <f aca="false">IF(W$5="A",Inputs_Actuals!W294,Assumptions!$C$101*People!W122)</f>
        <v>65685.8910725874</v>
      </c>
      <c r="X9" s="65" t="n">
        <f aca="false">IF(X$5="A",Inputs_Actuals!X294,Assumptions!$C$101*People!X122)</f>
        <v>65686.047079176</v>
      </c>
      <c r="Y9" s="65" t="n">
        <f aca="false">IF(Y$5="A",Inputs_Actuals!Y294,Assumptions!$C$101*People!Y122)</f>
        <v>67948.7621384824</v>
      </c>
      <c r="Z9" s="65" t="n">
        <f aca="false">IF(Z$5="A",Inputs_Actuals!Z294,Assumptions!$C$101*People!Z122)</f>
        <v>67926.1334278234</v>
      </c>
      <c r="AA9" s="65" t="n">
        <f aca="false">IF(AA$5="A",Inputs_Actuals!AA294,Assumptions!$C$101*People!AA122)</f>
        <v>67903.7325643369</v>
      </c>
      <c r="AB9" s="65" t="n">
        <f aca="false">IF(AB$5="A",Inputs_Actuals!AB294,Assumptions!$C$101*People!AB122)</f>
        <v>67904.1828600784</v>
      </c>
    </row>
    <row r="10" customFormat="false" ht="15" hidden="false" customHeight="false" outlineLevel="0" collapsed="false">
      <c r="A10" s="28" t="s">
        <v>1284</v>
      </c>
      <c r="B10" s="63" t="s">
        <v>1285</v>
      </c>
      <c r="C10" s="64" t="n">
        <f aca="false">SUM(E10:P10)</f>
        <v>393501.88</v>
      </c>
      <c r="D10" s="64" t="n">
        <f aca="false">SUM(Q10:AB10)</f>
        <v>263826.08</v>
      </c>
      <c r="E10" s="110" t="n">
        <v>37155.56</v>
      </c>
      <c r="F10" s="110" t="n">
        <v>36286.85</v>
      </c>
      <c r="G10" s="110" t="n">
        <v>35516.8</v>
      </c>
      <c r="H10" s="110" t="n">
        <v>34720.24</v>
      </c>
      <c r="I10" s="110" t="n">
        <v>33932.99</v>
      </c>
      <c r="J10" s="110" t="n">
        <v>33138.72</v>
      </c>
      <c r="K10" s="110" t="n">
        <v>32394.6</v>
      </c>
      <c r="L10" s="110" t="n">
        <v>31663.49</v>
      </c>
      <c r="M10" s="110" t="n">
        <v>30864.69</v>
      </c>
      <c r="N10" s="110" t="n">
        <v>30058.55</v>
      </c>
      <c r="O10" s="110" t="n">
        <v>29247.52</v>
      </c>
      <c r="P10" s="110" t="n">
        <v>28521.87</v>
      </c>
      <c r="Q10" s="110" t="n">
        <v>27759.51</v>
      </c>
      <c r="R10" s="110" t="n">
        <v>26674.37</v>
      </c>
      <c r="S10" s="110" t="n">
        <v>25576.05</v>
      </c>
      <c r="T10" s="110" t="n">
        <v>24590.67</v>
      </c>
      <c r="U10" s="110" t="n">
        <v>23603.32</v>
      </c>
      <c r="V10" s="110" t="n">
        <v>22566.67</v>
      </c>
      <c r="W10" s="110" t="n">
        <v>21543.44</v>
      </c>
      <c r="X10" s="110" t="n">
        <v>20393.5</v>
      </c>
      <c r="Y10" s="110" t="n">
        <v>19278.59</v>
      </c>
      <c r="Z10" s="110" t="n">
        <v>18298.59</v>
      </c>
      <c r="AA10" s="110" t="n">
        <v>17273.44</v>
      </c>
      <c r="AB10" s="110" t="n">
        <v>16267.93</v>
      </c>
    </row>
    <row r="11" customFormat="false" ht="15" hidden="false" customHeight="false" outlineLevel="0" collapsed="false">
      <c r="A11" s="28" t="s">
        <v>1286</v>
      </c>
      <c r="B11" s="63" t="s">
        <v>1287</v>
      </c>
      <c r="C11" s="64" t="n">
        <f aca="false">SUM(E11:P11)</f>
        <v>100012.079845941</v>
      </c>
      <c r="D11" s="64" t="n">
        <f aca="false">SUM(Q11:AB11)</f>
        <v>341031.161403368</v>
      </c>
      <c r="E11" s="74" t="n">
        <f aca="false">0</f>
        <v>0</v>
      </c>
      <c r="F11" s="65" t="n">
        <f aca="false">SUM(E9:E9)/Assumptions!$C$102</f>
        <v>1422.27333333333</v>
      </c>
      <c r="G11" s="65" t="n">
        <f aca="false">SUM(E9:F9)/Assumptions!$C$102</f>
        <v>2890.64222222222</v>
      </c>
      <c r="H11" s="65" t="n">
        <f aca="false">SUM(E9:G9)/Assumptions!$C$102</f>
        <v>4410.14555555556</v>
      </c>
      <c r="I11" s="65" t="n">
        <f aca="false">SUM(E9:H9)/Assumptions!$C$102</f>
        <v>5941.015</v>
      </c>
      <c r="J11" s="65" t="n">
        <f aca="false">SUM(E9:I9)/Assumptions!$C$102</f>
        <v>7504.18777777778</v>
      </c>
      <c r="K11" s="65" t="n">
        <f aca="false">SUM(E9:J9)/Assumptions!$C$102</f>
        <v>9069.04194444445</v>
      </c>
      <c r="L11" s="65" t="n">
        <f aca="false">SUM(E9:K9)/Assumptions!$C$102</f>
        <v>10620.9155555556</v>
      </c>
      <c r="M11" s="65" t="n">
        <f aca="false">SUM(E9:L9)/Assumptions!$C$102</f>
        <v>12177.8488888889</v>
      </c>
      <c r="N11" s="65" t="n">
        <f aca="false">SUM(E9:M9)/Assumptions!$C$102</f>
        <v>13759.5205859136</v>
      </c>
      <c r="O11" s="65" t="n">
        <f aca="false">SUM(E9:N9)/Assumptions!$C$102</f>
        <v>15325.3755659681</v>
      </c>
      <c r="P11" s="65" t="n">
        <f aca="false">SUM(E9:O9)/Assumptions!$C$102</f>
        <v>16891.1134162817</v>
      </c>
      <c r="Q11" s="65" t="n">
        <f aca="false">SUM(E9:P9)/Assumptions!$C$102</f>
        <v>18457.0106050625</v>
      </c>
      <c r="R11" s="65" t="n">
        <f aca="false">SUM(E9:Q9)/Assumptions!$C$102</f>
        <v>20241.0739294808</v>
      </c>
      <c r="S11" s="65" t="n">
        <f aca="false">SUM(E9:R9)/Assumptions!$C$102</f>
        <v>22023.5135866159</v>
      </c>
      <c r="T11" s="65" t="n">
        <f aca="false">SUM(E9:S9)/Assumptions!$C$102</f>
        <v>23804.347463467</v>
      </c>
      <c r="U11" s="65" t="n">
        <f aca="false">SUM(E9:T9)/Assumptions!$C$102</f>
        <v>25629.8192214605</v>
      </c>
      <c r="V11" s="65" t="n">
        <f aca="false">SUM(E9:U9)/Assumptions!$C$102</f>
        <v>27454.8606584453</v>
      </c>
      <c r="W11" s="65" t="n">
        <f aca="false">SUM(E9:V9)/Assumptions!$C$102</f>
        <v>29279.4600198289</v>
      </c>
      <c r="X11" s="65" t="n">
        <f aca="false">SUM(E9:W9)/Assumptions!$C$102</f>
        <v>31104.0681051785</v>
      </c>
      <c r="Y11" s="65" t="n">
        <f aca="false">SUM(E9:X9)/Assumptions!$C$102</f>
        <v>32928.6805240445</v>
      </c>
      <c r="Z11" s="65" t="n">
        <f aca="false">SUM(E9:Y9)/Assumptions!$C$102</f>
        <v>34816.1461390024</v>
      </c>
      <c r="AA11" s="65" t="n">
        <f aca="false">SUM(E9:Z9)/Assumptions!$C$102</f>
        <v>36702.9831786641</v>
      </c>
      <c r="AB11" s="65" t="n">
        <f aca="false">SUM(E9:AA9)/Assumptions!$C$102</f>
        <v>38589.197972118</v>
      </c>
    </row>
    <row r="12" customFormat="false" ht="15" hidden="false" customHeight="false" outlineLevel="0" collapsed="false">
      <c r="A12" s="59" t="s">
        <v>1288</v>
      </c>
      <c r="B12" s="60"/>
      <c r="C12" s="61" t="n">
        <f aca="false">SUM(E12:P12)</f>
        <v>493513.959845941</v>
      </c>
      <c r="D12" s="61" t="n">
        <f aca="false">SUM(Q12:AB12)</f>
        <v>604857.241403368</v>
      </c>
      <c r="E12" s="61" t="n">
        <f aca="false">E10+E11</f>
        <v>37155.56</v>
      </c>
      <c r="F12" s="61" t="n">
        <f aca="false">F10+F11</f>
        <v>37709.1233333333</v>
      </c>
      <c r="G12" s="61" t="n">
        <f aca="false">G10+G11</f>
        <v>38407.4422222222</v>
      </c>
      <c r="H12" s="61" t="n">
        <f aca="false">H10+H11</f>
        <v>39130.3855555556</v>
      </c>
      <c r="I12" s="61" t="n">
        <f aca="false">I10+I11</f>
        <v>39874.005</v>
      </c>
      <c r="J12" s="61" t="n">
        <f aca="false">J10+J11</f>
        <v>40642.9077777778</v>
      </c>
      <c r="K12" s="61" t="n">
        <f aca="false">K10+K11</f>
        <v>41463.6419444445</v>
      </c>
      <c r="L12" s="61" t="n">
        <f aca="false">L10+L11</f>
        <v>42284.4055555556</v>
      </c>
      <c r="M12" s="61" t="n">
        <f aca="false">M10+M11</f>
        <v>43042.5388888889</v>
      </c>
      <c r="N12" s="61" t="n">
        <f aca="false">N10+N11</f>
        <v>43818.0705859136</v>
      </c>
      <c r="O12" s="61" t="n">
        <f aca="false">O10+O11</f>
        <v>44572.8955659681</v>
      </c>
      <c r="P12" s="61" t="n">
        <f aca="false">P10+P11</f>
        <v>45412.9834162817</v>
      </c>
      <c r="Q12" s="61" t="n">
        <f aca="false">Q10+Q11</f>
        <v>46216.5206050625</v>
      </c>
      <c r="R12" s="61" t="n">
        <f aca="false">R10+R11</f>
        <v>46915.4439294808</v>
      </c>
      <c r="S12" s="61" t="n">
        <f aca="false">S10+S11</f>
        <v>47599.5635866159</v>
      </c>
      <c r="T12" s="61" t="n">
        <f aca="false">T10+T11</f>
        <v>48395.017463467</v>
      </c>
      <c r="U12" s="61" t="n">
        <f aca="false">U10+U11</f>
        <v>49233.1392214605</v>
      </c>
      <c r="V12" s="61" t="n">
        <f aca="false">V10+V11</f>
        <v>50021.5306584453</v>
      </c>
      <c r="W12" s="61" t="n">
        <f aca="false">W10+W11</f>
        <v>50822.9000198289</v>
      </c>
      <c r="X12" s="61" t="n">
        <f aca="false">X10+X11</f>
        <v>51497.5681051785</v>
      </c>
      <c r="Y12" s="61" t="n">
        <f aca="false">Y10+Y11</f>
        <v>52207.2705240445</v>
      </c>
      <c r="Z12" s="61" t="n">
        <f aca="false">Z10+Z11</f>
        <v>53114.7361390024</v>
      </c>
      <c r="AA12" s="61" t="n">
        <f aca="false">AA10+AA11</f>
        <v>53976.4231786642</v>
      </c>
      <c r="AB12" s="61" t="n">
        <f aca="false">AB10+AB11</f>
        <v>54857.127972118</v>
      </c>
    </row>
    <row r="13" customFormat="false" ht="15" hidden="false" customHeight="false" outlineLevel="0" collapsed="false">
      <c r="A13" s="59" t="s">
        <v>1289</v>
      </c>
      <c r="B13" s="60"/>
      <c r="C13" s="61" t="n">
        <f aca="false">P13</f>
        <v>926569.391936308</v>
      </c>
      <c r="D13" s="61" t="n">
        <f aca="false">AB13</f>
        <v>1114375.07860701</v>
      </c>
      <c r="E13" s="62" t="n">
        <f aca="false">Inputs_Actuals!$C$322+E9-E12</f>
        <v>769677.25</v>
      </c>
      <c r="F13" s="61" t="n">
        <f aca="false">E13+F9-F12</f>
        <v>784829.406666667</v>
      </c>
      <c r="G13" s="61" t="n">
        <f aca="false">F13+G9-G12</f>
        <v>801124.084444445</v>
      </c>
      <c r="H13" s="61" t="n">
        <f aca="false">G13+H9-H12</f>
        <v>817104.998888889</v>
      </c>
      <c r="I13" s="61" t="n">
        <f aca="false">H13+I9-I12</f>
        <v>833505.213888889</v>
      </c>
      <c r="J13" s="61" t="n">
        <f aca="false">I13+J9-J12</f>
        <v>849197.056111111</v>
      </c>
      <c r="K13" s="61" t="n">
        <f aca="false">J13+K9-K12</f>
        <v>863600.864166667</v>
      </c>
      <c r="L13" s="61" t="n">
        <f aca="false">K13+L9-L12</f>
        <v>877366.058611111</v>
      </c>
      <c r="M13" s="61" t="n">
        <f aca="false">L13+M9-M12</f>
        <v>891263.700815112</v>
      </c>
      <c r="N13" s="61" t="n">
        <f aca="false">M13+N9-N12</f>
        <v>903816.409511159</v>
      </c>
      <c r="O13" s="61" t="n">
        <f aca="false">N13+O9-O12</f>
        <v>915610.076556482</v>
      </c>
      <c r="P13" s="61" t="n">
        <f aca="false">O13+P9-P12</f>
        <v>926569.391936308</v>
      </c>
      <c r="Q13" s="61" t="n">
        <f aca="false">P13+Q9-Q12</f>
        <v>944579.151010305</v>
      </c>
      <c r="R13" s="61" t="n">
        <f aca="false">Q13+R9-R12</f>
        <v>961831.534737686</v>
      </c>
      <c r="S13" s="61" t="n">
        <f aca="false">R13+S9-S12</f>
        <v>978341.990717711</v>
      </c>
      <c r="T13" s="61" t="n">
        <f aca="false">S13+T9-T12</f>
        <v>995663.956542009</v>
      </c>
      <c r="U13" s="61" t="n">
        <f aca="false">T13+U9-U12</f>
        <v>1012132.309052</v>
      </c>
      <c r="V13" s="61" t="n">
        <f aca="false">U13+V9-V12</f>
        <v>1027796.35540337</v>
      </c>
      <c r="W13" s="61" t="n">
        <f aca="false">V13+W9-W12</f>
        <v>1042659.34645613</v>
      </c>
      <c r="X13" s="61" t="n">
        <f aca="false">W13+X9-X12</f>
        <v>1056847.82543012</v>
      </c>
      <c r="Y13" s="61" t="n">
        <f aca="false">X13+Y9-Y12</f>
        <v>1072589.31704456</v>
      </c>
      <c r="Z13" s="61" t="n">
        <f aca="false">Y13+Z9-Z12</f>
        <v>1087400.71433338</v>
      </c>
      <c r="AA13" s="61" t="n">
        <f aca="false">Z13+AA9-AA12</f>
        <v>1101328.02371905</v>
      </c>
      <c r="AB13" s="61" t="n">
        <f aca="false">AA13+AB9-AB12</f>
        <v>1114375.07860701</v>
      </c>
    </row>
    <row r="14" customFormat="false" ht="15" hidden="false" customHeight="false" outlineLevel="0" collapsed="false">
      <c r="A14" s="22" t="s">
        <v>1290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row>
    <row r="15" customFormat="false" ht="15" hidden="false" customHeight="false" outlineLevel="0" collapsed="false">
      <c r="A15" s="28" t="s">
        <v>1291</v>
      </c>
      <c r="B15" s="63" t="s">
        <v>60</v>
      </c>
      <c r="C15" s="64" t="n">
        <f aca="false">SUM(E15:P15)</f>
        <v>150622.789316654</v>
      </c>
      <c r="D15" s="64" t="n">
        <f aca="false">SUM(Q15:AB15)</f>
        <v>162548.279945203</v>
      </c>
      <c r="E15" s="65" t="n">
        <f aca="false">People!E200+People!E201</f>
        <v>15986.938755</v>
      </c>
      <c r="F15" s="65" t="n">
        <f aca="false">People!F200+People!F201</f>
        <v>7431.997065</v>
      </c>
      <c r="G15" s="65" t="n">
        <f aca="false">People!G200+People!G201</f>
        <v>13413.43644</v>
      </c>
      <c r="H15" s="65" t="n">
        <f aca="false">People!H200+People!H201</f>
        <v>26733.97143</v>
      </c>
      <c r="I15" s="65" t="n">
        <f aca="false">People!I200+People!I201</f>
        <v>6799.606455</v>
      </c>
      <c r="J15" s="65" t="n">
        <f aca="false">People!J200+People!J201</f>
        <v>8439.217935</v>
      </c>
      <c r="K15" s="65" t="n">
        <f aca="false">People!K200+People!K201</f>
        <v>17187.66687</v>
      </c>
      <c r="L15" s="65" t="n">
        <f aca="false">People!L200+People!L201</f>
        <v>8543.722155</v>
      </c>
      <c r="M15" s="65" t="n">
        <f aca="false">People!M200+People!M201</f>
        <v>8761.39203636443</v>
      </c>
      <c r="N15" s="65" t="n">
        <f aca="false">People!N200+People!N201</f>
        <v>8513.78917141722</v>
      </c>
      <c r="O15" s="65" t="n">
        <f aca="false">People!O200+People!O201</f>
        <v>15100.6750082606</v>
      </c>
      <c r="P15" s="65" t="n">
        <f aca="false">People!P200+People!P201</f>
        <v>13710.3759956122</v>
      </c>
      <c r="Q15" s="65" t="n">
        <f aca="false">People!Q200+People!Q201</f>
        <v>15616.2224504848</v>
      </c>
      <c r="R15" s="65" t="n">
        <f aca="false">People!R200+People!R201</f>
        <v>12776.4393486313</v>
      </c>
      <c r="S15" s="65" t="n">
        <f aca="false">People!S200+People!S201</f>
        <v>14229.4669058504</v>
      </c>
      <c r="T15" s="65" t="n">
        <f aca="false">People!T200+People!T201</f>
        <v>13568.6333529971</v>
      </c>
      <c r="U15" s="65" t="n">
        <f aca="false">People!U200+People!U201</f>
        <v>8572.83503793818</v>
      </c>
      <c r="V15" s="65" t="n">
        <f aca="false">People!V200+People!V201</f>
        <v>13980.926784703</v>
      </c>
      <c r="W15" s="65" t="n">
        <f aca="false">People!W200+People!W201</f>
        <v>13486.5223646354</v>
      </c>
      <c r="X15" s="65" t="n">
        <f aca="false">People!X200+People!X201</f>
        <v>11776.7932704365</v>
      </c>
      <c r="Y15" s="65" t="n">
        <f aca="false">People!Y200+People!Y201</f>
        <v>15304.9640336721</v>
      </c>
      <c r="Z15" s="65" t="n">
        <f aca="false">People!Z200+People!Z201</f>
        <v>15063.8797795759</v>
      </c>
      <c r="AA15" s="65" t="n">
        <f aca="false">People!AA200+People!AA201</f>
        <v>14961.1967782366</v>
      </c>
      <c r="AB15" s="65" t="n">
        <f aca="false">People!AB200+People!AB201</f>
        <v>13210.3998380415</v>
      </c>
    </row>
    <row r="16" customFormat="false" ht="15" hidden="false" customHeight="false" outlineLevel="0" collapsed="false">
      <c r="A16" s="28" t="s">
        <v>1292</v>
      </c>
      <c r="B16" s="63" t="s">
        <v>1293</v>
      </c>
      <c r="C16" s="64" t="n">
        <f aca="false">SUM(E16:P16)</f>
        <v>105683.2</v>
      </c>
      <c r="D16" s="64" t="n">
        <f aca="false">SUM(Q16:AB16)</f>
        <v>78786.25</v>
      </c>
      <c r="E16" s="110" t="n">
        <v>9876.44</v>
      </c>
      <c r="F16" s="110" t="n">
        <v>9703.1</v>
      </c>
      <c r="G16" s="110" t="n">
        <v>9521.98</v>
      </c>
      <c r="H16" s="110" t="n">
        <v>9261.01</v>
      </c>
      <c r="I16" s="110" t="n">
        <v>9071.71</v>
      </c>
      <c r="J16" s="110" t="n">
        <v>8891.42</v>
      </c>
      <c r="K16" s="110" t="n">
        <v>8691.57</v>
      </c>
      <c r="L16" s="110" t="n">
        <v>8485.42</v>
      </c>
      <c r="M16" s="110" t="n">
        <v>8324.5</v>
      </c>
      <c r="N16" s="110" t="n">
        <v>8140.48</v>
      </c>
      <c r="O16" s="110" t="n">
        <v>7940.17</v>
      </c>
      <c r="P16" s="110" t="n">
        <v>7775.4</v>
      </c>
      <c r="Q16" s="110" t="n">
        <v>7600.34</v>
      </c>
      <c r="R16" s="110" t="n">
        <v>7404.68</v>
      </c>
      <c r="S16" s="110" t="n">
        <v>7214.41</v>
      </c>
      <c r="T16" s="110" t="n">
        <v>7048.78</v>
      </c>
      <c r="U16" s="110" t="n">
        <v>6878.5</v>
      </c>
      <c r="V16" s="110" t="n">
        <v>6648.29</v>
      </c>
      <c r="W16" s="110" t="n">
        <v>6459.01</v>
      </c>
      <c r="X16" s="110" t="n">
        <v>6277.88</v>
      </c>
      <c r="Y16" s="110" t="n">
        <v>6101.49</v>
      </c>
      <c r="Z16" s="110" t="n">
        <v>5887.76</v>
      </c>
      <c r="AA16" s="110" t="n">
        <v>5742.95</v>
      </c>
      <c r="AB16" s="110" t="n">
        <v>5522.16</v>
      </c>
    </row>
    <row r="17" customFormat="false" ht="15" hidden="false" customHeight="false" outlineLevel="0" collapsed="false">
      <c r="A17" s="28" t="s">
        <v>1294</v>
      </c>
      <c r="B17" s="63" t="s">
        <v>1295</v>
      </c>
      <c r="C17" s="64" t="n">
        <f aca="false">SUM(E17:P17)</f>
        <v>17948.4833662539</v>
      </c>
      <c r="D17" s="64" t="n">
        <f aca="false">SUM(Q17:AB17)</f>
        <v>56105.6170944842</v>
      </c>
      <c r="E17" s="74" t="n">
        <f aca="false">0</f>
        <v>0</v>
      </c>
      <c r="F17" s="65" t="n">
        <f aca="false">SUM(E15:E15)/Assumptions!$C$103</f>
        <v>333.0612240625</v>
      </c>
      <c r="G17" s="65" t="n">
        <f aca="false">SUM(E15:F15)/Assumptions!$C$103</f>
        <v>487.89449625</v>
      </c>
      <c r="H17" s="65" t="n">
        <f aca="false">SUM(E15:G15)/Assumptions!$C$103</f>
        <v>767.34108875</v>
      </c>
      <c r="I17" s="65" t="n">
        <f aca="false">SUM(E15:H15)/Assumptions!$C$103</f>
        <v>1324.298826875</v>
      </c>
      <c r="J17" s="65" t="n">
        <f aca="false">SUM(E15:I15)/Assumptions!$C$103</f>
        <v>1465.9572946875</v>
      </c>
      <c r="K17" s="65" t="n">
        <f aca="false">SUM(E15:J15)/Assumptions!$C$103</f>
        <v>1641.774335</v>
      </c>
      <c r="L17" s="65" t="n">
        <f aca="false">SUM(E15:K15)/Assumptions!$C$103</f>
        <v>1999.850728125</v>
      </c>
      <c r="M17" s="65" t="n">
        <f aca="false">SUM(E15:L15)/Assumptions!$C$103</f>
        <v>2177.8449396875</v>
      </c>
      <c r="N17" s="65" t="n">
        <f aca="false">SUM(E15:M15)/Assumptions!$C$103</f>
        <v>2360.37394044509</v>
      </c>
      <c r="O17" s="65" t="n">
        <f aca="false">SUM(E15:N15)/Assumptions!$C$103</f>
        <v>2537.74454818295</v>
      </c>
      <c r="P17" s="65" t="n">
        <f aca="false">SUM(E15:O15)/Assumptions!$C$103</f>
        <v>2852.34194418838</v>
      </c>
      <c r="Q17" s="65" t="n">
        <f aca="false">SUM(E15:P15)/Assumptions!$C$103</f>
        <v>3137.9747774303</v>
      </c>
      <c r="R17" s="65" t="n">
        <f aca="false">SUM(E15:Q15)/Assumptions!$C$103</f>
        <v>3463.31274514873</v>
      </c>
      <c r="S17" s="65" t="n">
        <f aca="false">SUM(E15:R15)/Assumptions!$C$103</f>
        <v>3729.48856491189</v>
      </c>
      <c r="T17" s="65" t="n">
        <f aca="false">SUM(E15:S15)/Assumptions!$C$103</f>
        <v>4025.9357921171</v>
      </c>
      <c r="U17" s="65" t="n">
        <f aca="false">SUM(E15:T15)/Assumptions!$C$103</f>
        <v>4308.61565363788</v>
      </c>
      <c r="V17" s="65" t="n">
        <f aca="false">SUM(E15:U15)/Assumptions!$C$103</f>
        <v>4487.21638359492</v>
      </c>
      <c r="W17" s="65" t="n">
        <f aca="false">SUM(E15:V15)/Assumptions!$C$103</f>
        <v>4778.48569160957</v>
      </c>
      <c r="X17" s="65" t="n">
        <f aca="false">SUM(E15:W15)/Assumptions!$C$103</f>
        <v>5059.45490753947</v>
      </c>
      <c r="Y17" s="65" t="n">
        <f aca="false">SUM(E15:X15)/Assumptions!$C$103</f>
        <v>5304.80476734023</v>
      </c>
      <c r="Z17" s="65" t="n">
        <f aca="false">SUM(E15:Y15)/Assumptions!$C$103</f>
        <v>5623.6581847084</v>
      </c>
      <c r="AA17" s="65" t="n">
        <f aca="false">SUM(E15:Z15)/Assumptions!$C$103</f>
        <v>5937.48901344957</v>
      </c>
      <c r="AB17" s="65" t="n">
        <f aca="false">SUM(E15:AA15)/Assumptions!$C$103</f>
        <v>6249.18061299616</v>
      </c>
    </row>
    <row r="18" customFormat="false" ht="15" hidden="false" customHeight="false" outlineLevel="0" collapsed="false">
      <c r="A18" s="59" t="s">
        <v>1296</v>
      </c>
      <c r="B18" s="60"/>
      <c r="C18" s="61" t="n">
        <f aca="false">SUM(E18:P18)</f>
        <v>123631.683366254</v>
      </c>
      <c r="D18" s="61" t="n">
        <f aca="false">SUM(Q18:AB18)</f>
        <v>134891.867094484</v>
      </c>
      <c r="E18" s="61" t="n">
        <f aca="false">E16+E17</f>
        <v>9876.44</v>
      </c>
      <c r="F18" s="61" t="n">
        <f aca="false">F16+F17</f>
        <v>10036.1612240625</v>
      </c>
      <c r="G18" s="61" t="n">
        <f aca="false">G16+G17</f>
        <v>10009.87449625</v>
      </c>
      <c r="H18" s="61" t="n">
        <f aca="false">H16+H17</f>
        <v>10028.35108875</v>
      </c>
      <c r="I18" s="61" t="n">
        <f aca="false">I16+I17</f>
        <v>10396.008826875</v>
      </c>
      <c r="J18" s="61" t="n">
        <f aca="false">J16+J17</f>
        <v>10357.3772946875</v>
      </c>
      <c r="K18" s="61" t="n">
        <f aca="false">K16+K17</f>
        <v>10333.344335</v>
      </c>
      <c r="L18" s="61" t="n">
        <f aca="false">L16+L17</f>
        <v>10485.270728125</v>
      </c>
      <c r="M18" s="61" t="n">
        <f aca="false">M16+M17</f>
        <v>10502.3449396875</v>
      </c>
      <c r="N18" s="61" t="n">
        <f aca="false">N16+N17</f>
        <v>10500.8539404451</v>
      </c>
      <c r="O18" s="61" t="n">
        <f aca="false">O16+O17</f>
        <v>10477.914548183</v>
      </c>
      <c r="P18" s="61" t="n">
        <f aca="false">P16+P17</f>
        <v>10627.7419441884</v>
      </c>
      <c r="Q18" s="61" t="n">
        <f aca="false">Q16+Q17</f>
        <v>10738.3147774303</v>
      </c>
      <c r="R18" s="61" t="n">
        <f aca="false">R16+R17</f>
        <v>10867.9927451487</v>
      </c>
      <c r="S18" s="61" t="n">
        <f aca="false">S16+S17</f>
        <v>10943.8985649119</v>
      </c>
      <c r="T18" s="61" t="n">
        <f aca="false">T16+T17</f>
        <v>11074.7157921171</v>
      </c>
      <c r="U18" s="61" t="n">
        <f aca="false">U16+U17</f>
        <v>11187.1156536379</v>
      </c>
      <c r="V18" s="61" t="n">
        <f aca="false">V16+V17</f>
        <v>11135.5063835949</v>
      </c>
      <c r="W18" s="61" t="n">
        <f aca="false">W16+W17</f>
        <v>11237.4956916096</v>
      </c>
      <c r="X18" s="61" t="n">
        <f aca="false">X16+X17</f>
        <v>11337.3349075395</v>
      </c>
      <c r="Y18" s="61" t="n">
        <f aca="false">Y16+Y17</f>
        <v>11406.2947673402</v>
      </c>
      <c r="Z18" s="61" t="n">
        <f aca="false">Z16+Z17</f>
        <v>11511.4181847084</v>
      </c>
      <c r="AA18" s="61" t="n">
        <f aca="false">AA16+AA17</f>
        <v>11680.4390134496</v>
      </c>
      <c r="AB18" s="61" t="n">
        <f aca="false">AB16+AB17</f>
        <v>11771.3406129962</v>
      </c>
    </row>
    <row r="19" customFormat="false" ht="15" hidden="false" customHeight="false" outlineLevel="0" collapsed="false">
      <c r="A19" s="59" t="s">
        <v>1297</v>
      </c>
      <c r="B19" s="60"/>
      <c r="C19" s="61" t="n">
        <f aca="false">P19</f>
        <v>278454.215950401</v>
      </c>
      <c r="D19" s="61" t="n">
        <f aca="false">AB19</f>
        <v>306110.628801119</v>
      </c>
      <c r="E19" s="62" t="n">
        <f aca="false">Inputs_Actuals!$C$321+E15-E18</f>
        <v>257573.608755</v>
      </c>
      <c r="F19" s="61" t="n">
        <f aca="false">E19+F15-F18</f>
        <v>254969.444595938</v>
      </c>
      <c r="G19" s="61" t="n">
        <f aca="false">F19+G15-G18</f>
        <v>258373.006539688</v>
      </c>
      <c r="H19" s="61" t="n">
        <f aca="false">G19+H15-H18</f>
        <v>275078.626880938</v>
      </c>
      <c r="I19" s="61" t="n">
        <f aca="false">H19+I15-I18</f>
        <v>271482.224509063</v>
      </c>
      <c r="J19" s="61" t="n">
        <f aca="false">I19+J15-J18</f>
        <v>269564.065149375</v>
      </c>
      <c r="K19" s="61" t="n">
        <f aca="false">J19+K15-K18</f>
        <v>276418.387684375</v>
      </c>
      <c r="L19" s="61" t="n">
        <f aca="false">K19+L15-L18</f>
        <v>274476.83911125</v>
      </c>
      <c r="M19" s="61" t="n">
        <f aca="false">L19+M15-M18</f>
        <v>272735.886207927</v>
      </c>
      <c r="N19" s="61" t="n">
        <f aca="false">M19+N15-N18</f>
        <v>270748.821438899</v>
      </c>
      <c r="O19" s="61" t="n">
        <f aca="false">N19+O15-O18</f>
        <v>275371.581898977</v>
      </c>
      <c r="P19" s="61" t="n">
        <f aca="false">O19+P15-P18</f>
        <v>278454.215950401</v>
      </c>
      <c r="Q19" s="61" t="n">
        <f aca="false">P19+Q15-Q18</f>
        <v>283332.123623455</v>
      </c>
      <c r="R19" s="61" t="n">
        <f aca="false">Q19+R15-R18</f>
        <v>285240.570226938</v>
      </c>
      <c r="S19" s="61" t="n">
        <f aca="false">R19+S15-S18</f>
        <v>288526.138567876</v>
      </c>
      <c r="T19" s="61" t="n">
        <f aca="false">S19+T15-T18</f>
        <v>291020.056128756</v>
      </c>
      <c r="U19" s="61" t="n">
        <f aca="false">T19+U15-U18</f>
        <v>288405.775513056</v>
      </c>
      <c r="V19" s="61" t="n">
        <f aca="false">U19+V15-V18</f>
        <v>291251.195914165</v>
      </c>
      <c r="W19" s="61" t="n">
        <f aca="false">V19+W15-W18</f>
        <v>293500.22258719</v>
      </c>
      <c r="X19" s="61" t="n">
        <f aca="false">W19+X15-X18</f>
        <v>293939.680950087</v>
      </c>
      <c r="Y19" s="61" t="n">
        <f aca="false">X19+Y15-Y18</f>
        <v>297838.350216419</v>
      </c>
      <c r="Z19" s="61" t="n">
        <f aca="false">Y19+Z15-Z18</f>
        <v>301390.811811287</v>
      </c>
      <c r="AA19" s="61" t="n">
        <f aca="false">Z19+AA15-AA18</f>
        <v>304671.569576074</v>
      </c>
      <c r="AB19" s="61" t="n">
        <f aca="false">AA19+AB15-AB18</f>
        <v>306110.628801119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1298</v>
      </c>
    </row>
    <row r="3" customFormat="false" ht="15" hidden="false" customHeight="false" outlineLevel="0" collapsed="false">
      <c r="A3" s="50" t="s">
        <v>1299</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1300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1301</v>
      </c>
      <c r="B9" s="63" t="s">
        <v>51</v>
      </c>
      <c r="C9" s="64" t="n">
        <f aca="false">SUM(E9:P9)</f>
        <v>2600210.46024008</v>
      </c>
      <c r="D9" s="64" t="n">
        <f aca="false">SUM(Q9:AB9)</f>
        <v>3228216.69352105</v>
      </c>
      <c r="E9" s="65" t="n">
        <f aca="false">Billings!E38</f>
        <v>198495.315456</v>
      </c>
      <c r="F9" s="65" t="n">
        <f aca="false">Billings!F38</f>
        <v>201690.863536</v>
      </c>
      <c r="G9" s="65" t="n">
        <f aca="false">Billings!G38</f>
        <v>206961.97792</v>
      </c>
      <c r="H9" s="65" t="n">
        <f aca="false">Billings!H38</f>
        <v>210166.158784</v>
      </c>
      <c r="I9" s="65" t="n">
        <f aca="false">Billings!I38</f>
        <v>211758.527408</v>
      </c>
      <c r="J9" s="65" t="n">
        <f aca="false">Billings!J38</f>
        <v>213279.304048</v>
      </c>
      <c r="K9" s="65" t="n">
        <f aca="false">Billings!K38</f>
        <v>219043.655552</v>
      </c>
      <c r="L9" s="65" t="n">
        <f aca="false">Billings!L38</f>
        <v>219839.00608</v>
      </c>
      <c r="M9" s="65" t="n">
        <f aca="false">Billings!M38</f>
        <v>224055.958833456</v>
      </c>
      <c r="N9" s="65" t="n">
        <f aca="false">Billings!N38</f>
        <v>228456.795194313</v>
      </c>
      <c r="O9" s="65" t="n">
        <f aca="false">Billings!O38</f>
        <v>232072.296732833</v>
      </c>
      <c r="P9" s="65" t="n">
        <f aca="false">Billings!P38</f>
        <v>234390.600695481</v>
      </c>
      <c r="Q9" s="65" t="n">
        <f aca="false">Billings!Q38</f>
        <v>251302.685253627</v>
      </c>
      <c r="R9" s="65" t="n">
        <f aca="false">Billings!R38</f>
        <v>255361.495377369</v>
      </c>
      <c r="S9" s="65" t="n">
        <f aca="false">Billings!S38</f>
        <v>259137.626650762</v>
      </c>
      <c r="T9" s="65" t="n">
        <f aca="false">Billings!T38</f>
        <v>262476.165914823</v>
      </c>
      <c r="U9" s="65" t="n">
        <f aca="false">Billings!U38</f>
        <v>265788.494950806</v>
      </c>
      <c r="V9" s="65" t="n">
        <f aca="false">Billings!V38</f>
        <v>268682.501946333</v>
      </c>
      <c r="W9" s="65" t="n">
        <f aca="false">Billings!W38</f>
        <v>270811.141923909</v>
      </c>
      <c r="X9" s="65" t="n">
        <f aca="false">Billings!X38</f>
        <v>271670.709211738</v>
      </c>
      <c r="Y9" s="65" t="n">
        <f aca="false">Billings!Y38</f>
        <v>275541.791489692</v>
      </c>
      <c r="Z9" s="65" t="n">
        <f aca="false">Billings!Z38</f>
        <v>279647.572761534</v>
      </c>
      <c r="AA9" s="65" t="n">
        <f aca="false">Billings!AA38</f>
        <v>282928.243510691</v>
      </c>
      <c r="AB9" s="65" t="n">
        <f aca="false">Billings!AB38</f>
        <v>284868.264529763</v>
      </c>
    </row>
    <row r="10" customFormat="false" ht="15" hidden="false" customHeight="false" outlineLevel="0" collapsed="false">
      <c r="A10" s="28" t="s">
        <v>537</v>
      </c>
      <c r="B10" s="63" t="s">
        <v>1302</v>
      </c>
      <c r="C10" s="64" t="n">
        <f aca="false">SUM(E10:P10)</f>
        <v>68665.6094816016</v>
      </c>
      <c r="D10" s="64" t="n">
        <f aca="false">SUM(Q10:AB10)</f>
        <v>84973.597129163</v>
      </c>
      <c r="E10" s="65" t="n">
        <f aca="false">IF(E$5="A",Inputs_Actuals!E215,E9*Assumptions!$C$144+Assumptions!$C$145*Subscriptions!E109)</f>
        <v>5149.47</v>
      </c>
      <c r="F10" s="65" t="n">
        <f aca="false">IF(F$5="A",Inputs_Actuals!F215,F9*Assumptions!$C$144+Assumptions!$C$145*Subscriptions!F109)</f>
        <v>5352.17</v>
      </c>
      <c r="G10" s="65" t="n">
        <f aca="false">IF(G$5="A",Inputs_Actuals!G215,G9*Assumptions!$C$144+Assumptions!$C$145*Subscriptions!G109)</f>
        <v>5467.58</v>
      </c>
      <c r="H10" s="65" t="n">
        <f aca="false">IF(H$5="A",Inputs_Actuals!H215,H9*Assumptions!$C$144+Assumptions!$C$145*Subscriptions!H109)</f>
        <v>5531.17</v>
      </c>
      <c r="I10" s="65" t="n">
        <f aca="false">IF(I$5="A",Inputs_Actuals!I215,I9*Assumptions!$C$144+Assumptions!$C$145*Subscriptions!I109)</f>
        <v>5503.9</v>
      </c>
      <c r="J10" s="65" t="n">
        <f aca="false">IF(J$5="A",Inputs_Actuals!J215,J9*Assumptions!$C$144+Assumptions!$C$145*Subscriptions!J109)</f>
        <v>5755</v>
      </c>
      <c r="K10" s="65" t="n">
        <f aca="false">IF(K$5="A",Inputs_Actuals!K215,K9*Assumptions!$C$144+Assumptions!$C$145*Subscriptions!K109)</f>
        <v>5828.69</v>
      </c>
      <c r="L10" s="65" t="n">
        <f aca="false">IF(L$5="A",Inputs_Actuals!L215,L9*Assumptions!$C$144+Assumptions!$C$145*Subscriptions!L109)</f>
        <v>5825</v>
      </c>
      <c r="M10" s="65" t="n">
        <f aca="false">IF(M$5="A",Inputs_Actuals!M215,M9*Assumptions!$C$144+Assumptions!$C$145*Subscriptions!M109)</f>
        <v>5914.23495025313</v>
      </c>
      <c r="N10" s="65" t="n">
        <f aca="false">IF(N$5="A",Inputs_Actuals!N215,N9*Assumptions!$C$144+Assumptions!$C$145*Subscriptions!N109)</f>
        <v>6029.69575295498</v>
      </c>
      <c r="O10" s="65" t="n">
        <f aca="false">IF(O$5="A",Inputs_Actuals!O215,O9*Assumptions!$C$144+Assumptions!$C$145*Subscriptions!O109)</f>
        <v>6124.28677209225</v>
      </c>
      <c r="P10" s="65" t="n">
        <f aca="false">IF(P$5="A",Inputs_Actuals!P215,P9*Assumptions!$C$144+Assumptions!$C$145*Subscriptions!P109)</f>
        <v>6184.41200630122</v>
      </c>
      <c r="Q10" s="65" t="n">
        <f aca="false">IF(Q$5="A",Inputs_Actuals!Q215,Q9*Assumptions!$C$144+Assumptions!$C$145*Subscriptions!Q109)</f>
        <v>6619.48539583021</v>
      </c>
      <c r="R10" s="65" t="n">
        <f aca="false">IF(R$5="A",Inputs_Actuals!R215,R9*Assumptions!$C$144+Assumptions!$C$145*Subscriptions!R109)</f>
        <v>6725.63147480866</v>
      </c>
      <c r="S10" s="65" t="n">
        <f aca="false">IF(S$5="A",Inputs_Actuals!S215,S9*Assumptions!$C$144+Assumptions!$C$145*Subscriptions!S109)</f>
        <v>6824.2755601712</v>
      </c>
      <c r="T10" s="65" t="n">
        <f aca="false">IF(T$5="A",Inputs_Actuals!T215,T9*Assumptions!$C$144+Assumptions!$C$145*Subscriptions!T109)</f>
        <v>6911.31380641279</v>
      </c>
      <c r="U10" s="65" t="n">
        <f aca="false">IF(U$5="A",Inputs_Actuals!U215,U9*Assumptions!$C$144+Assumptions!$C$145*Subscriptions!U109)</f>
        <v>6997.66219384704</v>
      </c>
      <c r="V10" s="65" t="n">
        <f aca="false">IF(V$5="A",Inputs_Actuals!V215,V9*Assumptions!$C$144+Assumptions!$C$145*Subscriptions!V109)</f>
        <v>7072.91957844002</v>
      </c>
      <c r="W10" s="65" t="n">
        <f aca="false">IF(W$5="A",Inputs_Actuals!W215,W9*Assumptions!$C$144+Assumptions!$C$145*Subscriptions!W109)</f>
        <v>7127.89124777237</v>
      </c>
      <c r="X10" s="65" t="n">
        <f aca="false">IF(X$5="A",Inputs_Actuals!X215,X9*Assumptions!$C$144+Assumptions!$C$145*Subscriptions!X109)</f>
        <v>7149.23293289981</v>
      </c>
      <c r="Y10" s="65" t="n">
        <f aca="false">IF(Y$5="A",Inputs_Actuals!Y215,Y9*Assumptions!$C$144+Assumptions!$C$145*Subscriptions!Y109)</f>
        <v>7250.45216672875</v>
      </c>
      <c r="Z10" s="65" t="n">
        <f aca="false">IF(Z$5="A",Inputs_Actuals!Z215,Z9*Assumptions!$C$144+Assumptions!$C$145*Subscriptions!Z109)</f>
        <v>7357.88484331596</v>
      </c>
      <c r="AA10" s="65" t="n">
        <f aca="false">IF(AA$5="A",Inputs_Actuals!AA215,AA9*Assumptions!$C$144+Assumptions!$C$145*Subscriptions!AA109)</f>
        <v>7443.42751499036</v>
      </c>
      <c r="AB10" s="65" t="n">
        <f aca="false">IF(AB$5="A",Inputs_Actuals!AB215,AB9*Assumptions!$C$144+Assumptions!$C$145*Subscriptions!AB109)</f>
        <v>7493.4204139458</v>
      </c>
    </row>
    <row r="11" customFormat="false" ht="15" hidden="false" customHeight="false" outlineLevel="0" collapsed="false">
      <c r="A11" s="28" t="s">
        <v>1303</v>
      </c>
      <c r="B11" s="63" t="s">
        <v>1304</v>
      </c>
      <c r="C11" s="64" t="n">
        <f aca="false">SUM(E11:P11)</f>
        <v>2531544.86197448</v>
      </c>
      <c r="D11" s="64" t="n">
        <f aca="false">SUM(Q11:AB11)</f>
        <v>3143243.09639188</v>
      </c>
      <c r="E11" s="65" t="n">
        <f aca="false">IF(E$5="A",Inputs_Actuals!E214,E9-E10)</f>
        <v>193345.85</v>
      </c>
      <c r="F11" s="65" t="n">
        <f aca="false">IF(F$5="A",Inputs_Actuals!F214,F9-F10)</f>
        <v>196338.69</v>
      </c>
      <c r="G11" s="65" t="n">
        <f aca="false">IF(G$5="A",Inputs_Actuals!G214,G9-G10)</f>
        <v>201494.4</v>
      </c>
      <c r="H11" s="65" t="n">
        <f aca="false">IF(H$5="A",Inputs_Actuals!H214,H9-H10)</f>
        <v>204634.99</v>
      </c>
      <c r="I11" s="65" t="n">
        <f aca="false">IF(I$5="A",Inputs_Actuals!I214,I9-I10)</f>
        <v>206254.63</v>
      </c>
      <c r="J11" s="65" t="n">
        <f aca="false">IF(J$5="A",Inputs_Actuals!J214,J9-J10)</f>
        <v>207524.3</v>
      </c>
      <c r="K11" s="65" t="n">
        <f aca="false">IF(K$5="A",Inputs_Actuals!K214,K9-K10)</f>
        <v>213214.97</v>
      </c>
      <c r="L11" s="65" t="n">
        <f aca="false">IF(L$5="A",Inputs_Actuals!L214,L9-L10)</f>
        <v>214014.01</v>
      </c>
      <c r="M11" s="65" t="n">
        <f aca="false">IF(M$5="A",Inputs_Actuals!M214,M9-M10)</f>
        <v>218141.723883203</v>
      </c>
      <c r="N11" s="65" t="n">
        <f aca="false">IF(N$5="A",Inputs_Actuals!N214,N9-N10)</f>
        <v>222427.099441358</v>
      </c>
      <c r="O11" s="65" t="n">
        <f aca="false">IF(O$5="A",Inputs_Actuals!O214,O9-O10)</f>
        <v>225948.009960741</v>
      </c>
      <c r="P11" s="65" t="n">
        <f aca="false">IF(P$5="A",Inputs_Actuals!P214,P9-P10)</f>
        <v>228206.18868918</v>
      </c>
      <c r="Q11" s="65" t="n">
        <f aca="false">IF(Q$5="A",Inputs_Actuals!Q214,Q9-Q10)</f>
        <v>244683.199857797</v>
      </c>
      <c r="R11" s="65" t="n">
        <f aca="false">IF(R$5="A",Inputs_Actuals!R214,R9-R10)</f>
        <v>248635.86390256</v>
      </c>
      <c r="S11" s="65" t="n">
        <f aca="false">IF(S$5="A",Inputs_Actuals!S214,S9-S10)</f>
        <v>252313.35109059</v>
      </c>
      <c r="T11" s="65" t="n">
        <f aca="false">IF(T$5="A",Inputs_Actuals!T214,T9-T10)</f>
        <v>255564.85210841</v>
      </c>
      <c r="U11" s="65" t="n">
        <f aca="false">IF(U$5="A",Inputs_Actuals!U214,U9-U10)</f>
        <v>258790.832756959</v>
      </c>
      <c r="V11" s="65" t="n">
        <f aca="false">IF(V$5="A",Inputs_Actuals!V214,V9-V10)</f>
        <v>261609.582367893</v>
      </c>
      <c r="W11" s="65" t="n">
        <f aca="false">IF(W$5="A",Inputs_Actuals!W214,W9-W10)</f>
        <v>263683.250676136</v>
      </c>
      <c r="X11" s="65" t="n">
        <f aca="false">IF(X$5="A",Inputs_Actuals!X214,X9-X10)</f>
        <v>264521.476278838</v>
      </c>
      <c r="Y11" s="65" t="n">
        <f aca="false">IF(Y$5="A",Inputs_Actuals!Y214,Y9-Y10)</f>
        <v>268291.339322963</v>
      </c>
      <c r="Z11" s="65" t="n">
        <f aca="false">IF(Z$5="A",Inputs_Actuals!Z214,Z9-Z10)</f>
        <v>272289.687918218</v>
      </c>
      <c r="AA11" s="65" t="n">
        <f aca="false">IF(AA$5="A",Inputs_Actuals!AA214,AA9-AA10)</f>
        <v>275484.815995701</v>
      </c>
      <c r="AB11" s="65" t="n">
        <f aca="false">IF(AB$5="A",Inputs_Actuals!AB214,AB9-AB10)</f>
        <v>277374.844115817</v>
      </c>
    </row>
    <row r="12" customFormat="false" ht="15" hidden="false" customHeight="false" outlineLevel="0" collapsed="false">
      <c r="A12" s="59" t="s">
        <v>1305</v>
      </c>
      <c r="B12" s="60" t="s">
        <v>1306</v>
      </c>
      <c r="C12" s="61" t="n">
        <f aca="false">P12</f>
        <v>-0.0112159999844152</v>
      </c>
      <c r="D12" s="61" t="n">
        <f aca="false">AB12</f>
        <v>-0.0112159999553114</v>
      </c>
      <c r="E12" s="61" t="n">
        <f aca="false">0+E9-E10-E11</f>
        <v>-0.00454399999580346</v>
      </c>
      <c r="F12" s="61" t="n">
        <f aca="false">E12+F9-F10-F11</f>
        <v>-0.00100800002110191</v>
      </c>
      <c r="G12" s="61" t="n">
        <f aca="false">F12+G9-G10-G11</f>
        <v>-0.00308799996855669</v>
      </c>
      <c r="H12" s="61" t="n">
        <f aca="false">G12+H9-H10-H11</f>
        <v>-0.00430399994365871</v>
      </c>
      <c r="I12" s="61" t="n">
        <f aca="false">H12+I9-I10-I11</f>
        <v>-0.00689599991892465</v>
      </c>
      <c r="J12" s="61" t="n">
        <f aca="false">I12+J9-J10-J11</f>
        <v>-0.00284799991641194</v>
      </c>
      <c r="K12" s="61" t="n">
        <f aca="false">J12+K9-K10-K11</f>
        <v>-0.00729599993792363</v>
      </c>
      <c r="L12" s="61" t="n">
        <f aca="false">K12+L9-L10-L11</f>
        <v>-0.0112159999844152</v>
      </c>
      <c r="M12" s="61" t="n">
        <f aca="false">L12+M9-M10-M11</f>
        <v>-0.0112159999844152</v>
      </c>
      <c r="N12" s="61" t="n">
        <f aca="false">M12+N9-N10-N11</f>
        <v>-0.0112159999844152</v>
      </c>
      <c r="O12" s="61" t="n">
        <f aca="false">N12+O9-O10-O11</f>
        <v>-0.0112159999844152</v>
      </c>
      <c r="P12" s="61" t="n">
        <f aca="false">O12+P9-P10-P11</f>
        <v>-0.0112159999844152</v>
      </c>
      <c r="Q12" s="61" t="n">
        <f aca="false">P12+Q9-Q10-Q11</f>
        <v>-0.0112159999844152</v>
      </c>
      <c r="R12" s="61" t="n">
        <f aca="false">Q12+R9-R10-R11</f>
        <v>-0.0112159999844152</v>
      </c>
      <c r="S12" s="61" t="n">
        <f aca="false">R12+S9-S10-S11</f>
        <v>-0.0112159999844152</v>
      </c>
      <c r="T12" s="61" t="n">
        <f aca="false">S12+T9-T10-T11</f>
        <v>-0.0112159999553114</v>
      </c>
      <c r="U12" s="61" t="n">
        <f aca="false">T12+U9-U10-U11</f>
        <v>-0.0112159999553114</v>
      </c>
      <c r="V12" s="61" t="n">
        <f aca="false">U12+V9-V10-V11</f>
        <v>-0.0112159999553114</v>
      </c>
      <c r="W12" s="61" t="n">
        <f aca="false">V12+W9-W10-W11</f>
        <v>-0.0112159999553114</v>
      </c>
      <c r="X12" s="61" t="n">
        <f aca="false">W12+X9-X10-X11</f>
        <v>-0.0112159999553114</v>
      </c>
      <c r="Y12" s="61" t="n">
        <f aca="false">X12+Y9-Y10-Y11</f>
        <v>-0.0112159999553114</v>
      </c>
      <c r="Z12" s="61" t="n">
        <f aca="false">Y12+Z9-Z10-Z11</f>
        <v>-0.0112159999553114</v>
      </c>
      <c r="AA12" s="61" t="n">
        <f aca="false">Z12+AA9-AA10-AA11</f>
        <v>-0.0112159999553114</v>
      </c>
      <c r="AB12" s="61" t="n">
        <f aca="false">AA12+AB9-AB10-AB11</f>
        <v>-0.0112159999553114</v>
      </c>
    </row>
    <row r="13" customFormat="false" ht="15" hidden="false" customHeight="false" outlineLevel="0" collapsed="false">
      <c r="A13" s="22" t="s">
        <v>1054</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1307</v>
      </c>
      <c r="B14" s="63" t="s">
        <v>51</v>
      </c>
      <c r="C14" s="64" t="n">
        <f aca="false">SUM(E14:P14)</f>
        <v>2938096.00283903</v>
      </c>
      <c r="D14" s="64" t="n">
        <f aca="false">SUM(Q14:AB14)</f>
        <v>3665322.71787168</v>
      </c>
      <c r="E14" s="65" t="n">
        <f aca="false">Billings!E39</f>
        <v>411618.161097</v>
      </c>
      <c r="F14" s="65" t="n">
        <f aca="false">Billings!F39</f>
        <v>184813.182295</v>
      </c>
      <c r="G14" s="65" t="n">
        <f aca="false">Billings!G39</f>
        <v>270997.438946</v>
      </c>
      <c r="H14" s="65" t="n">
        <f aca="false">Billings!H39</f>
        <v>267342.473913</v>
      </c>
      <c r="I14" s="65" t="n">
        <f aca="false">Billings!I39</f>
        <v>232815.303825</v>
      </c>
      <c r="J14" s="65" t="n">
        <f aca="false">Billings!J39</f>
        <v>206695.208739</v>
      </c>
      <c r="K14" s="65" t="n">
        <f aca="false">Billings!K39</f>
        <v>285006.162184</v>
      </c>
      <c r="L14" s="65" t="n">
        <f aca="false">Billings!L39</f>
        <v>189899.773914</v>
      </c>
      <c r="M14" s="65" t="n">
        <f aca="false">Billings!M39</f>
        <v>239872.02026646</v>
      </c>
      <c r="N14" s="65" t="n">
        <f aca="false">Billings!N39</f>
        <v>217793.3551372</v>
      </c>
      <c r="O14" s="65" t="n">
        <f aca="false">Billings!O39</f>
        <v>232119.135317689</v>
      </c>
      <c r="P14" s="65" t="n">
        <f aca="false">Billings!P39</f>
        <v>199123.787204683</v>
      </c>
      <c r="Q14" s="65" t="n">
        <f aca="false">Billings!Q39</f>
        <v>479079.27019846</v>
      </c>
      <c r="R14" s="65" t="n">
        <f aca="false">Billings!R39</f>
        <v>253734.450832919</v>
      </c>
      <c r="S14" s="65" t="n">
        <f aca="false">Billings!S39</f>
        <v>326774.144430724</v>
      </c>
      <c r="T14" s="65" t="n">
        <f aca="false">Billings!T39</f>
        <v>329419.799237853</v>
      </c>
      <c r="U14" s="65" t="n">
        <f aca="false">Billings!U39</f>
        <v>299866.816048964</v>
      </c>
      <c r="V14" s="65" t="n">
        <f aca="false">Billings!V39</f>
        <v>265582.448907551</v>
      </c>
      <c r="W14" s="65" t="n">
        <f aca="false">Billings!W39</f>
        <v>340227.720082955</v>
      </c>
      <c r="X14" s="65" t="n">
        <f aca="false">Billings!X39</f>
        <v>226481.076918563</v>
      </c>
      <c r="Y14" s="65" t="n">
        <f aca="false">Billings!Y39</f>
        <v>307642.179617438</v>
      </c>
      <c r="Z14" s="65" t="n">
        <f aca="false">Billings!Z39</f>
        <v>286675.101359233</v>
      </c>
      <c r="AA14" s="65" t="n">
        <f aca="false">Billings!AA39</f>
        <v>296526.392414037</v>
      </c>
      <c r="AB14" s="65" t="n">
        <f aca="false">Billings!AB39</f>
        <v>253313.317822983</v>
      </c>
    </row>
    <row r="15" customFormat="false" ht="15" hidden="false" customHeight="false" outlineLevel="0" collapsed="false">
      <c r="A15" s="28" t="s">
        <v>1308</v>
      </c>
      <c r="B15" s="63" t="s">
        <v>1309</v>
      </c>
      <c r="C15" s="64" t="n">
        <f aca="false">P15</f>
        <v>237810.309757631</v>
      </c>
      <c r="D15" s="64" t="n">
        <f aca="false">AB15</f>
        <v>302734.383225322</v>
      </c>
      <c r="E15" s="65" t="n">
        <f aca="false">CHOOSE(INT((Assumptions!$C$142+Assumptions!$F$182)/30)+1,E14*(((Assumptions!$C$142+Assumptions!$F$182)-30*INT((Assumptions!$C$142+Assumptions!$F$182)/30))/30),E14+0*(((Assumptions!$C$142+Assumptions!$F$182)-30*INT((Assumptions!$C$142+Assumptions!$F$182)/30))/30),E14+0+0*(((Assumptions!$C$142+Assumptions!$F$182)-30*INT((Assumptions!$C$142+Assumptions!$F$182)/30))/30),E14+0+0+0*(((Assumptions!$C$142+Assumptions!$F$182)-30*INT((Assumptions!$C$142+Assumptions!$F$182)/30))/30))</f>
        <v>411618.161097</v>
      </c>
      <c r="F15" s="65" t="n">
        <f aca="false">CHOOSE(INT((Assumptions!$C$142+Assumptions!$F$182)/30)+1,F14*(((Assumptions!$C$142+Assumptions!$F$182)-30*INT((Assumptions!$C$142+Assumptions!$F$182)/30))/30),F14+E14*(((Assumptions!$C$142+Assumptions!$F$182)-30*INT((Assumptions!$C$142+Assumptions!$F$182)/30))/30),F14+E14+0*(((Assumptions!$C$142+Assumptions!$F$182)-30*INT((Assumptions!$C$142+Assumptions!$F$182)/30))/30),F14+E14+0+0*(((Assumptions!$C$142+Assumptions!$F$182)-30*INT((Assumptions!$C$142+Assumptions!$F$182)/30))/30))</f>
        <v>253416.2091445</v>
      </c>
      <c r="G15" s="65" t="n">
        <f aca="false">CHOOSE(INT((Assumptions!$C$142+Assumptions!$F$182)/30)+1,G14*(((Assumptions!$C$142+Assumptions!$F$182)-30*INT((Assumptions!$C$142+Assumptions!$F$182)/30))/30),G14+F14*(((Assumptions!$C$142+Assumptions!$F$182)-30*INT((Assumptions!$C$142+Assumptions!$F$182)/30))/30),G14+F14+E14*(((Assumptions!$C$142+Assumptions!$F$182)-30*INT((Assumptions!$C$142+Assumptions!$F$182)/30))/30),G14+F14+E14+0*(((Assumptions!$C$142+Assumptions!$F$182)-30*INT((Assumptions!$C$142+Assumptions!$F$182)/30))/30))</f>
        <v>301799.635995167</v>
      </c>
      <c r="H15" s="65" t="n">
        <f aca="false">CHOOSE(INT((Assumptions!$C$142+Assumptions!$F$182)/30)+1,H14*(((Assumptions!$C$142+Assumptions!$F$182)-30*INT((Assumptions!$C$142+Assumptions!$F$182)/30))/30),H14+G14*(((Assumptions!$C$142+Assumptions!$F$182)-30*INT((Assumptions!$C$142+Assumptions!$F$182)/30))/30),H14+G14+F14*(((Assumptions!$C$142+Assumptions!$F$182)-30*INT((Assumptions!$C$142+Assumptions!$F$182)/30))/30),H14+G14+F14+E14*(((Assumptions!$C$142+Assumptions!$F$182)-30*INT((Assumptions!$C$142+Assumptions!$F$182)/30))/30))</f>
        <v>312508.713737333</v>
      </c>
      <c r="I15" s="65" t="n">
        <f aca="false">CHOOSE(INT((Assumptions!$C$142+Assumptions!$F$182)/30)+1,I14*(((Assumptions!$C$142+Assumptions!$F$182)-30*INT((Assumptions!$C$142+Assumptions!$F$182)/30))/30),I14+H14*(((Assumptions!$C$142+Assumptions!$F$182)-30*INT((Assumptions!$C$142+Assumptions!$F$182)/30))/30),I14+H14+G14*(((Assumptions!$C$142+Assumptions!$F$182)-30*INT((Assumptions!$C$142+Assumptions!$F$182)/30))/30),I14+H14+G14+F14*(((Assumptions!$C$142+Assumptions!$F$182)-30*INT((Assumptions!$C$142+Assumptions!$F$182)/30))/30))</f>
        <v>277372.3828105</v>
      </c>
      <c r="J15" s="65" t="n">
        <f aca="false">CHOOSE(INT((Assumptions!$C$142+Assumptions!$F$182)/30)+1,J14*(((Assumptions!$C$142+Assumptions!$F$182)-30*INT((Assumptions!$C$142+Assumptions!$F$182)/30))/30),J14+I14*(((Assumptions!$C$142+Assumptions!$F$182)-30*INT((Assumptions!$C$142+Assumptions!$F$182)/30))/30),J14+I14+H14*(((Assumptions!$C$142+Assumptions!$F$182)-30*INT((Assumptions!$C$142+Assumptions!$F$182)/30))/30),J14+I14+H14+G14*(((Assumptions!$C$142+Assumptions!$F$182)-30*INT((Assumptions!$C$142+Assumptions!$F$182)/30))/30))</f>
        <v>245497.7593765</v>
      </c>
      <c r="K15" s="65" t="n">
        <f aca="false">CHOOSE(INT((Assumptions!$C$142+Assumptions!$F$182)/30)+1,K14*(((Assumptions!$C$142+Assumptions!$F$182)-30*INT((Assumptions!$C$142+Assumptions!$F$182)/30))/30),K14+J14*(((Assumptions!$C$142+Assumptions!$F$182)-30*INT((Assumptions!$C$142+Assumptions!$F$182)/30))/30),K14+J14+I14*(((Assumptions!$C$142+Assumptions!$F$182)-30*INT((Assumptions!$C$142+Assumptions!$F$182)/30))/30),K14+J14+I14+H14*(((Assumptions!$C$142+Assumptions!$F$182)-30*INT((Assumptions!$C$142+Assumptions!$F$182)/30))/30))</f>
        <v>319455.3636405</v>
      </c>
      <c r="L15" s="65" t="n">
        <f aca="false">CHOOSE(INT((Assumptions!$C$142+Assumptions!$F$182)/30)+1,L14*(((Assumptions!$C$142+Assumptions!$F$182)-30*INT((Assumptions!$C$142+Assumptions!$F$182)/30))/30),L14+K14*(((Assumptions!$C$142+Assumptions!$F$182)-30*INT((Assumptions!$C$142+Assumptions!$F$182)/30))/30),L14+K14+J14*(((Assumptions!$C$142+Assumptions!$F$182)-30*INT((Assumptions!$C$142+Assumptions!$F$182)/30))/30),L14+K14+J14+I14*(((Assumptions!$C$142+Assumptions!$F$182)-30*INT((Assumptions!$C$142+Assumptions!$F$182)/30))/30))</f>
        <v>237400.800944667</v>
      </c>
      <c r="M15" s="65" t="n">
        <f aca="false">CHOOSE(INT((Assumptions!$C$142+Assumptions!$F$182)/30)+1,M14*(((Assumptions!$C$142+Assumptions!$F$182)-30*INT((Assumptions!$C$142+Assumptions!$F$182)/30))/30),M14+L14*(((Assumptions!$C$142+Assumptions!$F$182)-30*INT((Assumptions!$C$142+Assumptions!$F$182)/30))/30),M14+L14+K14*(((Assumptions!$C$142+Assumptions!$F$182)-30*INT((Assumptions!$C$142+Assumptions!$F$182)/30))/30),M14+L14+K14+J14*(((Assumptions!$C$142+Assumptions!$F$182)-30*INT((Assumptions!$C$142+Assumptions!$F$182)/30))/30))</f>
        <v>271521.98258546</v>
      </c>
      <c r="N15" s="65" t="n">
        <f aca="false">CHOOSE(INT((Assumptions!$C$142+Assumptions!$F$182)/30)+1,N14*(((Assumptions!$C$142+Assumptions!$F$182)-30*INT((Assumptions!$C$142+Assumptions!$F$182)/30))/30),N14+M14*(((Assumptions!$C$142+Assumptions!$F$182)-30*INT((Assumptions!$C$142+Assumptions!$F$182)/30))/30),N14+M14+L14*(((Assumptions!$C$142+Assumptions!$F$182)-30*INT((Assumptions!$C$142+Assumptions!$F$182)/30))/30),N14+M14+L14+K14*(((Assumptions!$C$142+Assumptions!$F$182)-30*INT((Assumptions!$C$142+Assumptions!$F$182)/30))/30))</f>
        <v>257772.02518161</v>
      </c>
      <c r="O15" s="65" t="n">
        <f aca="false">CHOOSE(INT((Assumptions!$C$142+Assumptions!$F$182)/30)+1,O14*(((Assumptions!$C$142+Assumptions!$F$182)-30*INT((Assumptions!$C$142+Assumptions!$F$182)/30))/30),O14+N14*(((Assumptions!$C$142+Assumptions!$F$182)-30*INT((Assumptions!$C$142+Assumptions!$F$182)/30))/30),O14+N14+M14*(((Assumptions!$C$142+Assumptions!$F$182)-30*INT((Assumptions!$C$142+Assumptions!$F$182)/30))/30),O14+N14+M14+L14*(((Assumptions!$C$142+Assumptions!$F$182)-30*INT((Assumptions!$C$142+Assumptions!$F$182)/30))/30))</f>
        <v>268418.027840555</v>
      </c>
      <c r="P15" s="65" t="n">
        <f aca="false">CHOOSE(INT((Assumptions!$C$142+Assumptions!$F$182)/30)+1,P14*(((Assumptions!$C$142+Assumptions!$F$182)-30*INT((Assumptions!$C$142+Assumptions!$F$182)/30))/30),P14+O14*(((Assumptions!$C$142+Assumptions!$F$182)-30*INT((Assumptions!$C$142+Assumptions!$F$182)/30))/30),P14+O14+N14*(((Assumptions!$C$142+Assumptions!$F$182)-30*INT((Assumptions!$C$142+Assumptions!$F$182)/30))/30),P14+O14+N14+M14*(((Assumptions!$C$142+Assumptions!$F$182)-30*INT((Assumptions!$C$142+Assumptions!$F$182)/30))/30))</f>
        <v>237810.309757631</v>
      </c>
      <c r="Q15" s="65" t="n">
        <f aca="false">CHOOSE(INT((Assumptions!$C$142+Assumptions!$F$182)/30)+1,Q14*(((Assumptions!$C$142+Assumptions!$F$182)-30*INT((Assumptions!$C$142+Assumptions!$F$182)/30))/30),Q14+P14*(((Assumptions!$C$142+Assumptions!$F$182)-30*INT((Assumptions!$C$142+Assumptions!$F$182)/30))/30),Q14+P14+O14*(((Assumptions!$C$142+Assumptions!$F$182)-30*INT((Assumptions!$C$142+Assumptions!$F$182)/30))/30),Q14+P14+O14+N14*(((Assumptions!$C$142+Assumptions!$F$182)-30*INT((Assumptions!$C$142+Assumptions!$F$182)/30))/30))</f>
        <v>512266.568065907</v>
      </c>
      <c r="R15" s="65" t="n">
        <f aca="false">CHOOSE(INT((Assumptions!$C$142+Assumptions!$F$182)/30)+1,R14*(((Assumptions!$C$142+Assumptions!$F$182)-30*INT((Assumptions!$C$142+Assumptions!$F$182)/30))/30),R14+Q14*(((Assumptions!$C$142+Assumptions!$F$182)-30*INT((Assumptions!$C$142+Assumptions!$F$182)/30))/30),R14+Q14+P14*(((Assumptions!$C$142+Assumptions!$F$182)-30*INT((Assumptions!$C$142+Assumptions!$F$182)/30))/30),R14+Q14+P14+O14*(((Assumptions!$C$142+Assumptions!$F$182)-30*INT((Assumptions!$C$142+Assumptions!$F$182)/30))/30))</f>
        <v>333580.995865995</v>
      </c>
      <c r="S15" s="65" t="n">
        <f aca="false">CHOOSE(INT((Assumptions!$C$142+Assumptions!$F$182)/30)+1,S14*(((Assumptions!$C$142+Assumptions!$F$182)-30*INT((Assumptions!$C$142+Assumptions!$F$182)/30))/30),S14+R14*(((Assumptions!$C$142+Assumptions!$F$182)-30*INT((Assumptions!$C$142+Assumptions!$F$182)/30))/30),S14+R14+Q14*(((Assumptions!$C$142+Assumptions!$F$182)-30*INT((Assumptions!$C$142+Assumptions!$F$182)/30))/30),S14+R14+Q14+P14*(((Assumptions!$C$142+Assumptions!$F$182)-30*INT((Assumptions!$C$142+Assumptions!$F$182)/30))/30))</f>
        <v>369063.219569544</v>
      </c>
      <c r="T15" s="65" t="n">
        <f aca="false">CHOOSE(INT((Assumptions!$C$142+Assumptions!$F$182)/30)+1,T14*(((Assumptions!$C$142+Assumptions!$F$182)-30*INT((Assumptions!$C$142+Assumptions!$F$182)/30))/30),T14+S14*(((Assumptions!$C$142+Assumptions!$F$182)-30*INT((Assumptions!$C$142+Assumptions!$F$182)/30))/30),T14+S14+R14*(((Assumptions!$C$142+Assumptions!$F$182)-30*INT((Assumptions!$C$142+Assumptions!$F$182)/30))/30),T14+S14+R14+Q14*(((Assumptions!$C$142+Assumptions!$F$182)-30*INT((Assumptions!$C$142+Assumptions!$F$182)/30))/30))</f>
        <v>383882.156642974</v>
      </c>
      <c r="U15" s="65" t="n">
        <f aca="false">CHOOSE(INT((Assumptions!$C$142+Assumptions!$F$182)/30)+1,U14*(((Assumptions!$C$142+Assumptions!$F$182)-30*INT((Assumptions!$C$142+Assumptions!$F$182)/30))/30),U14+T14*(((Assumptions!$C$142+Assumptions!$F$182)-30*INT((Assumptions!$C$142+Assumptions!$F$182)/30))/30),U14+T14+S14*(((Assumptions!$C$142+Assumptions!$F$182)-30*INT((Assumptions!$C$142+Assumptions!$F$182)/30))/30),U14+T14+S14+R14*(((Assumptions!$C$142+Assumptions!$F$182)-30*INT((Assumptions!$C$142+Assumptions!$F$182)/30))/30))</f>
        <v>354770.11592194</v>
      </c>
      <c r="V15" s="65" t="n">
        <f aca="false">CHOOSE(INT((Assumptions!$C$142+Assumptions!$F$182)/30)+1,V14*(((Assumptions!$C$142+Assumptions!$F$182)-30*INT((Assumptions!$C$142+Assumptions!$F$182)/30))/30),V14+U14*(((Assumptions!$C$142+Assumptions!$F$182)-30*INT((Assumptions!$C$142+Assumptions!$F$182)/30))/30),V14+U14+T14*(((Assumptions!$C$142+Assumptions!$F$182)-30*INT((Assumptions!$C$142+Assumptions!$F$182)/30))/30),V14+U14+T14+S14*(((Assumptions!$C$142+Assumptions!$F$182)-30*INT((Assumptions!$C$142+Assumptions!$F$182)/30))/30))</f>
        <v>315560.251582378</v>
      </c>
      <c r="W15" s="65" t="n">
        <f aca="false">CHOOSE(INT((Assumptions!$C$142+Assumptions!$F$182)/30)+1,W14*(((Assumptions!$C$142+Assumptions!$F$182)-30*INT((Assumptions!$C$142+Assumptions!$F$182)/30))/30),W14+V14*(((Assumptions!$C$142+Assumptions!$F$182)-30*INT((Assumptions!$C$142+Assumptions!$F$182)/30))/30),W14+V14+U14*(((Assumptions!$C$142+Assumptions!$F$182)-30*INT((Assumptions!$C$142+Assumptions!$F$182)/30))/30),W14+V14+U14+T14*(((Assumptions!$C$142+Assumptions!$F$182)-30*INT((Assumptions!$C$142+Assumptions!$F$182)/30))/30))</f>
        <v>384491.461567547</v>
      </c>
      <c r="X15" s="65" t="n">
        <f aca="false">CHOOSE(INT((Assumptions!$C$142+Assumptions!$F$182)/30)+1,X14*(((Assumptions!$C$142+Assumptions!$F$182)-30*INT((Assumptions!$C$142+Assumptions!$F$182)/30))/30),X14+W14*(((Assumptions!$C$142+Assumptions!$F$182)-30*INT((Assumptions!$C$142+Assumptions!$F$182)/30))/30),X14+W14+V14*(((Assumptions!$C$142+Assumptions!$F$182)-30*INT((Assumptions!$C$142+Assumptions!$F$182)/30))/30),X14+W14+V14+U14*(((Assumptions!$C$142+Assumptions!$F$182)-30*INT((Assumptions!$C$142+Assumptions!$F$182)/30))/30))</f>
        <v>283185.696932389</v>
      </c>
      <c r="Y15" s="65" t="n">
        <f aca="false">CHOOSE(INT((Assumptions!$C$142+Assumptions!$F$182)/30)+1,Y14*(((Assumptions!$C$142+Assumptions!$F$182)-30*INT((Assumptions!$C$142+Assumptions!$F$182)/30))/30),Y14+X14*(((Assumptions!$C$142+Assumptions!$F$182)-30*INT((Assumptions!$C$142+Assumptions!$F$182)/30))/30),Y14+X14+W14*(((Assumptions!$C$142+Assumptions!$F$182)-30*INT((Assumptions!$C$142+Assumptions!$F$182)/30))/30),Y14+X14+W14+V14*(((Assumptions!$C$142+Assumptions!$F$182)-30*INT((Assumptions!$C$142+Assumptions!$F$182)/30))/30))</f>
        <v>345389.025770532</v>
      </c>
      <c r="Z15" s="65" t="n">
        <f aca="false">CHOOSE(INT((Assumptions!$C$142+Assumptions!$F$182)/30)+1,Z14*(((Assumptions!$C$142+Assumptions!$F$182)-30*INT((Assumptions!$C$142+Assumptions!$F$182)/30))/30),Z14+Y14*(((Assumptions!$C$142+Assumptions!$F$182)-30*INT((Assumptions!$C$142+Assumptions!$F$182)/30))/30),Z14+Y14+X14*(((Assumptions!$C$142+Assumptions!$F$182)-30*INT((Assumptions!$C$142+Assumptions!$F$182)/30))/30),Z14+Y14+X14+W14*(((Assumptions!$C$142+Assumptions!$F$182)-30*INT((Assumptions!$C$142+Assumptions!$F$182)/30))/30))</f>
        <v>337948.79796214</v>
      </c>
      <c r="AA15" s="65" t="n">
        <f aca="false">CHOOSE(INT((Assumptions!$C$142+Assumptions!$F$182)/30)+1,AA14*(((Assumptions!$C$142+Assumptions!$F$182)-30*INT((Assumptions!$C$142+Assumptions!$F$182)/30))/30),AA14+Z14*(((Assumptions!$C$142+Assumptions!$F$182)-30*INT((Assumptions!$C$142+Assumptions!$F$182)/30))/30),AA14+Z14+Y14*(((Assumptions!$C$142+Assumptions!$F$182)-30*INT((Assumptions!$C$142+Assumptions!$F$182)/30))/30),AA14+Z14+Y14+X14*(((Assumptions!$C$142+Assumptions!$F$182)-30*INT((Assumptions!$C$142+Assumptions!$F$182)/30))/30))</f>
        <v>344305.575973909</v>
      </c>
      <c r="AB15" s="65" t="n">
        <f aca="false">CHOOSE(INT((Assumptions!$C$142+Assumptions!$F$182)/30)+1,AB14*(((Assumptions!$C$142+Assumptions!$F$182)-30*INT((Assumptions!$C$142+Assumptions!$F$182)/30))/30),AB14+AA14*(((Assumptions!$C$142+Assumptions!$F$182)-30*INT((Assumptions!$C$142+Assumptions!$F$182)/30))/30),AB14+AA14+Z14*(((Assumptions!$C$142+Assumptions!$F$182)-30*INT((Assumptions!$C$142+Assumptions!$F$182)/30))/30),AB14+AA14+Z14+Y14*(((Assumptions!$C$142+Assumptions!$F$182)-30*INT((Assumptions!$C$142+Assumptions!$F$182)/30))/30))</f>
        <v>302734.383225322</v>
      </c>
    </row>
    <row r="16" customFormat="false" ht="15" hidden="false" customHeight="false" outlineLevel="0" collapsed="false">
      <c r="A16" s="28" t="s">
        <v>1310</v>
      </c>
      <c r="B16" s="63" t="s">
        <v>1311</v>
      </c>
      <c r="C16" s="64" t="n">
        <f aca="false">SUM(E16:P16)</f>
        <v>2868004.2430814</v>
      </c>
      <c r="D16" s="64" t="n">
        <f aca="false">SUM(Q16:AB16)</f>
        <v>3600398.64440399</v>
      </c>
      <c r="E16" s="65" t="n">
        <f aca="false">IF(E$5="A",Inputs_Actuals!E216,Inputs_Actuals!$C$318+E14-E15)</f>
        <v>152802.29</v>
      </c>
      <c r="F16" s="65" t="n">
        <f aca="false">IF(F$5="A",Inputs_Actuals!F216,E18+F14-F15)</f>
        <v>367731.4</v>
      </c>
      <c r="G16" s="65" t="n">
        <f aca="false">IF(G$5="A",Inputs_Actuals!G216,F18+G14-G15)</f>
        <v>222614.01</v>
      </c>
      <c r="H16" s="65" t="n">
        <f aca="false">IF(H$5="A",Inputs_Actuals!H216,G18+H14-H15)</f>
        <v>256633.4</v>
      </c>
      <c r="I16" s="65" t="n">
        <f aca="false">IF(I$5="A",Inputs_Actuals!I216,H18+I14-I15)</f>
        <v>259784.97</v>
      </c>
      <c r="J16" s="65" t="n">
        <f aca="false">IF(J$5="A",Inputs_Actuals!J216,I18+J14-J15)</f>
        <v>236936.5</v>
      </c>
      <c r="K16" s="65" t="n">
        <f aca="false">IF(K$5="A",Inputs_Actuals!K216,J18+K14-K15)</f>
        <v>211048.56</v>
      </c>
      <c r="L16" s="65" t="n">
        <f aca="false">IF(L$5="A",Inputs_Actuals!L216,K18+L14-L15)</f>
        <v>271954.34</v>
      </c>
      <c r="M16" s="65" t="n">
        <f aca="false">IF(M$5="A",Inputs_Actuals!M216,L18+M14-M15)</f>
        <v>205750.822594</v>
      </c>
      <c r="N16" s="65" t="n">
        <f aca="false">IF(N$5="A",Inputs_Actuals!N216,M18+N14-N15)</f>
        <v>231543.31254105</v>
      </c>
      <c r="O16" s="65" t="n">
        <f aca="false">IF(O$5="A",Inputs_Actuals!O216,N18+O14-O15)</f>
        <v>221473.132658743</v>
      </c>
      <c r="P16" s="65" t="n">
        <f aca="false">IF(P$5="A",Inputs_Actuals!P216,O18+P14-P15)</f>
        <v>229731.505287607</v>
      </c>
      <c r="Q16" s="65" t="n">
        <f aca="false">IF(Q$5="A",Inputs_Actuals!Q216,P18+Q14-Q15)</f>
        <v>204623.011890184</v>
      </c>
      <c r="R16" s="65" t="n">
        <f aca="false">IF(R$5="A",Inputs_Actuals!R216,Q18+R14-R15)</f>
        <v>432420.023032831</v>
      </c>
      <c r="S16" s="65" t="n">
        <f aca="false">IF(S$5="A",Inputs_Actuals!S216,R18+S14-S15)</f>
        <v>291291.920727176</v>
      </c>
      <c r="T16" s="65" t="n">
        <f aca="false">IF(T$5="A",Inputs_Actuals!T216,S18+T14-T15)</f>
        <v>314600.862164423</v>
      </c>
      <c r="U16" s="65" t="n">
        <f aca="false">IF(U$5="A",Inputs_Actuals!U216,T18+U14-U15)</f>
        <v>328978.856769998</v>
      </c>
      <c r="V16" s="65" t="n">
        <f aca="false">IF(V$5="A",Inputs_Actuals!V216,U18+V14-V15)</f>
        <v>304792.313247112</v>
      </c>
      <c r="W16" s="65" t="n">
        <f aca="false">IF(W$5="A",Inputs_Actuals!W216,V18+W14-W15)</f>
        <v>271296.510097787</v>
      </c>
      <c r="X16" s="65" t="n">
        <f aca="false">IF(X$5="A",Inputs_Actuals!X216,W18+X14-X15)</f>
        <v>327786.841553721</v>
      </c>
      <c r="Y16" s="65" t="n">
        <f aca="false">IF(Y$5="A",Inputs_Actuals!Y216,X18+Y14-Y15)</f>
        <v>245438.850779295</v>
      </c>
      <c r="Z16" s="65" t="n">
        <f aca="false">IF(Z$5="A",Inputs_Actuals!Z216,Y18+Z14-Z15)</f>
        <v>294115.329167626</v>
      </c>
      <c r="AA16" s="65" t="n">
        <f aca="false">IF(AA$5="A",Inputs_Actuals!AA216,Z18+AA14-AA15)</f>
        <v>290169.614402268</v>
      </c>
      <c r="AB16" s="65" t="n">
        <f aca="false">IF(AB$5="A",Inputs_Actuals!AB216,AA18+AB14-AB15)</f>
        <v>294884.51057157</v>
      </c>
    </row>
    <row r="17" customFormat="false" ht="15" hidden="false" customHeight="false" outlineLevel="0" collapsed="false">
      <c r="A17" s="28" t="s">
        <v>1312</v>
      </c>
      <c r="B17" s="63" t="s">
        <v>1313</v>
      </c>
      <c r="C17" s="64" t="n">
        <f aca="false">SUM(E17:P17)</f>
        <v>9800</v>
      </c>
      <c r="D17" s="64" t="n">
        <f aca="false">SUM(Q17:AB17)</f>
        <v>0</v>
      </c>
      <c r="E17" s="65" t="n">
        <f aca="false">IF(E$5="A",Inputs_Actuals!E218,0)</f>
        <v>0</v>
      </c>
      <c r="F17" s="65" t="n">
        <f aca="false">IF(F$5="A",Inputs_Actuals!F218,0)</f>
        <v>0</v>
      </c>
      <c r="G17" s="65" t="n">
        <f aca="false">IF(G$5="A",Inputs_Actuals!G218,0)</f>
        <v>0</v>
      </c>
      <c r="H17" s="65" t="n">
        <f aca="false">IF(H$5="A",Inputs_Actuals!H218,0)</f>
        <v>0</v>
      </c>
      <c r="I17" s="65" t="n">
        <f aca="false">IF(I$5="A",Inputs_Actuals!I218,0)</f>
        <v>0</v>
      </c>
      <c r="J17" s="65" t="n">
        <f aca="false">IF(J$5="A",Inputs_Actuals!J218,0)</f>
        <v>9800</v>
      </c>
      <c r="K17" s="65" t="n">
        <f aca="false">IF(K$5="A",Inputs_Actuals!K218,0)</f>
        <v>0</v>
      </c>
      <c r="L17" s="65" t="n">
        <f aca="false">IF(L$5="A",Inputs_Actuals!L218,0)</f>
        <v>0</v>
      </c>
      <c r="M17" s="65" t="n">
        <f aca="false">IF(M$5="A",Inputs_Actuals!M218,0)</f>
        <v>0</v>
      </c>
      <c r="N17" s="65" t="n">
        <f aca="false">IF(N$5="A",Inputs_Actuals!N218,0)</f>
        <v>0</v>
      </c>
      <c r="O17" s="65" t="n">
        <f aca="false">IF(O$5="A",Inputs_Actuals!O218,0)</f>
        <v>0</v>
      </c>
      <c r="P17" s="65" t="n">
        <f aca="false">IF(P$5="A",Inputs_Actuals!P218,0)</f>
        <v>0</v>
      </c>
      <c r="Q17" s="65" t="n">
        <f aca="false">IF(Q$5="A",Inputs_Actuals!Q218,0)</f>
        <v>0</v>
      </c>
      <c r="R17" s="65" t="n">
        <f aca="false">IF(R$5="A",Inputs_Actuals!R218,0)</f>
        <v>0</v>
      </c>
      <c r="S17" s="65" t="n">
        <f aca="false">IF(S$5="A",Inputs_Actuals!S218,0)</f>
        <v>0</v>
      </c>
      <c r="T17" s="65" t="n">
        <f aca="false">IF(T$5="A",Inputs_Actuals!T218,0)</f>
        <v>0</v>
      </c>
      <c r="U17" s="65" t="n">
        <f aca="false">IF(U$5="A",Inputs_Actuals!U218,0)</f>
        <v>0</v>
      </c>
      <c r="V17" s="65" t="n">
        <f aca="false">IF(V$5="A",Inputs_Actuals!V218,0)</f>
        <v>0</v>
      </c>
      <c r="W17" s="65" t="n">
        <f aca="false">IF(W$5="A",Inputs_Actuals!W218,0)</f>
        <v>0</v>
      </c>
      <c r="X17" s="65" t="n">
        <f aca="false">IF(X$5="A",Inputs_Actuals!X218,0)</f>
        <v>0</v>
      </c>
      <c r="Y17" s="65" t="n">
        <f aca="false">IF(Y$5="A",Inputs_Actuals!Y218,0)</f>
        <v>0</v>
      </c>
      <c r="Z17" s="65" t="n">
        <f aca="false">IF(Z$5="A",Inputs_Actuals!Z218,0)</f>
        <v>0</v>
      </c>
      <c r="AA17" s="65" t="n">
        <f aca="false">IF(AA$5="A",Inputs_Actuals!AA218,0)</f>
        <v>0</v>
      </c>
      <c r="AB17" s="65" t="n">
        <f aca="false">IF(AB$5="A",Inputs_Actuals!AB218,0)</f>
        <v>0</v>
      </c>
    </row>
    <row r="18" customFormat="false" ht="15" hidden="false" customHeight="false" outlineLevel="0" collapsed="false">
      <c r="A18" s="59" t="s">
        <v>1314</v>
      </c>
      <c r="B18" s="60"/>
      <c r="C18" s="61" t="n">
        <f aca="false">P18</f>
        <v>237810.309757631</v>
      </c>
      <c r="D18" s="61" t="n">
        <f aca="false">AB18</f>
        <v>302734.383225322</v>
      </c>
      <c r="E18" s="62" t="n">
        <f aca="false">Inputs_Actuals!$C$318+E14-E16-E17</f>
        <v>436334.421097</v>
      </c>
      <c r="F18" s="61" t="n">
        <f aca="false">E18+F14-F16-F17</f>
        <v>253416.203392</v>
      </c>
      <c r="G18" s="61" t="n">
        <f aca="false">F18+G14-G16-G17</f>
        <v>301799.632338</v>
      </c>
      <c r="H18" s="61" t="n">
        <f aca="false">G18+H14-H16-H17</f>
        <v>312508.706251</v>
      </c>
      <c r="I18" s="61" t="n">
        <f aca="false">H18+I14-I16-I17</f>
        <v>285539.040076</v>
      </c>
      <c r="J18" s="61" t="n">
        <f aca="false">I18+J14-J16-J17</f>
        <v>245497.748815</v>
      </c>
      <c r="K18" s="61" t="n">
        <f aca="false">J18+K14-K16-K17</f>
        <v>319455.350999</v>
      </c>
      <c r="L18" s="61" t="n">
        <f aca="false">K18+L14-L16-L17</f>
        <v>237400.784913</v>
      </c>
      <c r="M18" s="61" t="n">
        <f aca="false">L18+M14-M16-M17</f>
        <v>271521.98258546</v>
      </c>
      <c r="N18" s="61" t="n">
        <f aca="false">M18+N14-N16-N17</f>
        <v>257772.02518161</v>
      </c>
      <c r="O18" s="61" t="n">
        <f aca="false">N18+O14-O16-O17</f>
        <v>268418.027840555</v>
      </c>
      <c r="P18" s="61" t="n">
        <f aca="false">O18+P14-P16-P17</f>
        <v>237810.309757631</v>
      </c>
      <c r="Q18" s="61" t="n">
        <f aca="false">P18+Q14-Q16-Q17</f>
        <v>512266.568065907</v>
      </c>
      <c r="R18" s="61" t="n">
        <f aca="false">Q18+R14-R16-R17</f>
        <v>333580.995865995</v>
      </c>
      <c r="S18" s="61" t="n">
        <f aca="false">R18+S14-S16-S17</f>
        <v>369063.219569544</v>
      </c>
      <c r="T18" s="61" t="n">
        <f aca="false">S18+T14-T16-T17</f>
        <v>383882.156642974</v>
      </c>
      <c r="U18" s="61" t="n">
        <f aca="false">T18+U14-U16-U17</f>
        <v>354770.11592194</v>
      </c>
      <c r="V18" s="61" t="n">
        <f aca="false">U18+V14-V16-V17</f>
        <v>315560.251582378</v>
      </c>
      <c r="W18" s="61" t="n">
        <f aca="false">V18+W14-W16-W17</f>
        <v>384491.461567547</v>
      </c>
      <c r="X18" s="61" t="n">
        <f aca="false">W18+X14-X16-X17</f>
        <v>283185.696932389</v>
      </c>
      <c r="Y18" s="61" t="n">
        <f aca="false">X18+Y14-Y16-Y17</f>
        <v>345389.025770532</v>
      </c>
      <c r="Z18" s="61" t="n">
        <f aca="false">Y18+Z14-Z16-Z17</f>
        <v>337948.79796214</v>
      </c>
      <c r="AA18" s="61" t="n">
        <f aca="false">Z18+AA14-AA16-AA17</f>
        <v>344305.575973909</v>
      </c>
      <c r="AB18" s="61" t="n">
        <f aca="false">AA18+AB14-AB16-AB17</f>
        <v>302734.383225322</v>
      </c>
    </row>
    <row r="19" customFormat="false" ht="15" hidden="false" customHeight="false" outlineLevel="0" collapsed="false">
      <c r="A19" s="22" t="s">
        <v>1315</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false" outlineLevel="0" collapsed="false">
      <c r="A20" s="28" t="s">
        <v>1307</v>
      </c>
      <c r="B20" s="63" t="s">
        <v>51</v>
      </c>
      <c r="C20" s="64" t="n">
        <f aca="false">SUM(E20:P20)</f>
        <v>2239882.93990757</v>
      </c>
      <c r="D20" s="64" t="n">
        <f aca="false">SUM(Q20:AB20)</f>
        <v>2744395.15524455</v>
      </c>
      <c r="E20" s="65" t="n">
        <f aca="false">Billings!E40</f>
        <v>408549.9204</v>
      </c>
      <c r="F20" s="65" t="n">
        <f aca="false">Billings!F40</f>
        <v>0</v>
      </c>
      <c r="G20" s="65" t="n">
        <f aca="false">Billings!G40</f>
        <v>316480.054</v>
      </c>
      <c r="H20" s="65" t="n">
        <f aca="false">Billings!H40</f>
        <v>265208.2</v>
      </c>
      <c r="I20" s="65" t="n">
        <f aca="false">Billings!I40</f>
        <v>160656.0324</v>
      </c>
      <c r="J20" s="65" t="n">
        <f aca="false">Billings!J40</f>
        <v>203182.4256</v>
      </c>
      <c r="K20" s="65" t="n">
        <f aca="false">Billings!K40</f>
        <v>146288.72</v>
      </c>
      <c r="L20" s="65" t="n">
        <f aca="false">Billings!L40</f>
        <v>0</v>
      </c>
      <c r="M20" s="65" t="n">
        <f aca="false">Billings!M40</f>
        <v>255321.55809168</v>
      </c>
      <c r="N20" s="65" t="n">
        <f aca="false">Billings!N40</f>
        <v>119084.299407216</v>
      </c>
      <c r="O20" s="65" t="n">
        <f aca="false">Billings!O40</f>
        <v>300111.730008672</v>
      </c>
      <c r="P20" s="65" t="n">
        <f aca="false">Billings!P40</f>
        <v>65000</v>
      </c>
      <c r="Q20" s="65" t="n">
        <f aca="false">Billings!Q40</f>
        <v>431303.86700973</v>
      </c>
      <c r="R20" s="65" t="n">
        <f aca="false">Billings!R40</f>
        <v>38400</v>
      </c>
      <c r="S20" s="65" t="n">
        <f aca="false">Billings!S40</f>
        <v>368137.16153994</v>
      </c>
      <c r="T20" s="65" t="n">
        <f aca="false">Billings!T40</f>
        <v>288988.4308296</v>
      </c>
      <c r="U20" s="65" t="n">
        <f aca="false">Billings!U40</f>
        <v>155287.156679827</v>
      </c>
      <c r="V20" s="65" t="n">
        <f aca="false">Billings!V40</f>
        <v>258481.047351301</v>
      </c>
      <c r="W20" s="65" t="n">
        <f aca="false">Billings!W40</f>
        <v>192068.32145216</v>
      </c>
      <c r="X20" s="65" t="n">
        <f aca="false">Billings!X40</f>
        <v>58117.55</v>
      </c>
      <c r="Y20" s="65" t="n">
        <f aca="false">Billings!Y40</f>
        <v>315905.689778138</v>
      </c>
      <c r="Z20" s="65" t="n">
        <f aca="false">Billings!Z40</f>
        <v>176751.234418259</v>
      </c>
      <c r="AA20" s="65" t="n">
        <f aca="false">Billings!AA40</f>
        <v>347356.196185598</v>
      </c>
      <c r="AB20" s="65" t="n">
        <f aca="false">Billings!AB40</f>
        <v>113598.5</v>
      </c>
    </row>
    <row r="21" customFormat="false" ht="15" hidden="false" customHeight="false" outlineLevel="0" collapsed="false">
      <c r="A21" s="28" t="s">
        <v>1316</v>
      </c>
      <c r="B21" s="63" t="s">
        <v>1317</v>
      </c>
      <c r="C21" s="64" t="n">
        <f aca="false">P21</f>
        <v>0</v>
      </c>
      <c r="D21" s="64" t="n">
        <f aca="false">AB21</f>
        <v>0</v>
      </c>
      <c r="E21" s="65" t="n">
        <f aca="false">IF(E$5="A",IF(Assumptions!E$189&gt;=6,Assumptions!$C$147,0),0-E24-E25)</f>
        <v>0</v>
      </c>
      <c r="F21" s="65" t="n">
        <f aca="false">IF(F$5="A",IF(Assumptions!F$189&gt;=6,Assumptions!$C$147,0),E21-F24-F25)</f>
        <v>0</v>
      </c>
      <c r="G21" s="65" t="n">
        <f aca="false">IF(G$5="A",IF(Assumptions!G$189&gt;=6,Assumptions!$C$147,0),F21-G24-G25)</f>
        <v>0</v>
      </c>
      <c r="H21" s="65" t="n">
        <f aca="false">IF(H$5="A",IF(Assumptions!H$189&gt;=6,Assumptions!$C$147,0),G21-H24-H25)</f>
        <v>0</v>
      </c>
      <c r="I21" s="65" t="n">
        <f aca="false">IF(I$5="A",IF(Assumptions!I$189&gt;=6,Assumptions!$C$147,0),H21-I24-I25)</f>
        <v>0</v>
      </c>
      <c r="J21" s="65" t="n">
        <f aca="false">IF(J$5="A",IF(Assumptions!J$189&gt;=6,Assumptions!$C$147,0),I21-J24-J25)</f>
        <v>60663.54</v>
      </c>
      <c r="K21" s="65" t="n">
        <f aca="false">IF(K$5="A",IF(Assumptions!K$189&gt;=6,Assumptions!$C$147,0),J21-K24-K25)</f>
        <v>60663.54</v>
      </c>
      <c r="L21" s="65" t="n">
        <f aca="false">IF(L$5="A",IF(Assumptions!L$189&gt;=6,Assumptions!$C$147,0),K21-L24-L25)</f>
        <v>60663.54</v>
      </c>
      <c r="M21" s="65" t="n">
        <f aca="false">IF(M$5="A",IF(Assumptions!M$189&gt;=6,Assumptions!$C$147,0),L21-M24-M25)</f>
        <v>60663.54</v>
      </c>
      <c r="N21" s="65" t="n">
        <f aca="false">IF(N$5="A",IF(Assumptions!N$189&gt;=6,Assumptions!$C$147,0),M21-N24-N25)</f>
        <v>0</v>
      </c>
      <c r="O21" s="65" t="n">
        <f aca="false">IF(O$5="A",IF(Assumptions!O$189&gt;=6,Assumptions!$C$147,0),N21-O24-O25)</f>
        <v>0</v>
      </c>
      <c r="P21" s="65" t="n">
        <f aca="false">IF(P$5="A",IF(Assumptions!P$189&gt;=6,Assumptions!$C$147,0),O21-P24-P25)</f>
        <v>0</v>
      </c>
      <c r="Q21" s="65" t="n">
        <f aca="false">IF(Q$5="A",IF(Assumptions!Q$189&gt;=6,Assumptions!$C$147,0),P21-Q24-Q25)</f>
        <v>0</v>
      </c>
      <c r="R21" s="65" t="n">
        <f aca="false">IF(R$5="A",IF(Assumptions!R$189&gt;=6,Assumptions!$C$147,0),Q21-R24-R25)</f>
        <v>0</v>
      </c>
      <c r="S21" s="65" t="n">
        <f aca="false">IF(S$5="A",IF(Assumptions!S$189&gt;=6,Assumptions!$C$147,0),R21-S24-S25)</f>
        <v>0</v>
      </c>
      <c r="T21" s="65" t="n">
        <f aca="false">IF(T$5="A",IF(Assumptions!T$189&gt;=6,Assumptions!$C$147,0),S21-T24-T25)</f>
        <v>0</v>
      </c>
      <c r="U21" s="65" t="n">
        <f aca="false">IF(U$5="A",IF(Assumptions!U$189&gt;=6,Assumptions!$C$147,0),T21-U24-U25)</f>
        <v>0</v>
      </c>
      <c r="V21" s="65" t="n">
        <f aca="false">IF(V$5="A",IF(Assumptions!V$189&gt;=6,Assumptions!$C$147,0),U21-V24-V25)</f>
        <v>0</v>
      </c>
      <c r="W21" s="65" t="n">
        <f aca="false">IF(W$5="A",IF(Assumptions!W$189&gt;=6,Assumptions!$C$147,0),V21-W24-W25)</f>
        <v>0</v>
      </c>
      <c r="X21" s="65" t="n">
        <f aca="false">IF(X$5="A",IF(Assumptions!X$189&gt;=6,Assumptions!$C$147,0),W21-X24-X25)</f>
        <v>0</v>
      </c>
      <c r="Y21" s="65" t="n">
        <f aca="false">IF(Y$5="A",IF(Assumptions!Y$189&gt;=6,Assumptions!$C$147,0),X21-Y24-Y25)</f>
        <v>0</v>
      </c>
      <c r="Z21" s="65" t="n">
        <f aca="false">IF(Z$5="A",IF(Assumptions!Z$189&gt;=6,Assumptions!$C$147,0),Y21-Z24-Z25)</f>
        <v>0</v>
      </c>
      <c r="AA21" s="65" t="n">
        <f aca="false">IF(AA$5="A",IF(Assumptions!AA$189&gt;=6,Assumptions!$C$147,0),Z21-AA24-AA25)</f>
        <v>0</v>
      </c>
      <c r="AB21" s="65" t="n">
        <f aca="false">IF(AB$5="A",IF(Assumptions!AB$189&gt;=6,Assumptions!$C$147,0),AA21-AB24-AB25)</f>
        <v>0</v>
      </c>
    </row>
    <row r="22" customFormat="false" ht="15" hidden="false" customHeight="false" outlineLevel="0" collapsed="false">
      <c r="A22" s="28" t="s">
        <v>1318</v>
      </c>
      <c r="B22" s="63" t="s">
        <v>1309</v>
      </c>
      <c r="C22" s="64" t="n">
        <f aca="false">P22</f>
        <v>265074.486672448</v>
      </c>
      <c r="D22" s="64" t="n">
        <f aca="false">AB22</f>
        <v>345169.297457065</v>
      </c>
      <c r="E22" s="65" t="n">
        <f aca="false">CHOOSE(INT((Assumptions!$C$143+Assumptions!$F$182)/30)+1,E20*(((Assumptions!$C$143+Assumptions!$F$182)-30*INT((Assumptions!$C$143+Assumptions!$F$182)/30))/30),E20+0*(((Assumptions!$C$143+Assumptions!$F$182)-30*INT((Assumptions!$C$143+Assumptions!$F$182)/30))/30),E20+0+0*(((Assumptions!$C$143+Assumptions!$F$182)-30*INT((Assumptions!$C$143+Assumptions!$F$182)/30))/30),E20+0+0+0*(((Assumptions!$C$143+Assumptions!$F$182)-30*INT((Assumptions!$C$143+Assumptions!$F$182)/30))/30))</f>
        <v>408549.9204</v>
      </c>
      <c r="F22" s="65" t="n">
        <f aca="false">CHOOSE(INT((Assumptions!$C$143+Assumptions!$F$182)/30)+1,F20*(((Assumptions!$C$143+Assumptions!$F$182)-30*INT((Assumptions!$C$143+Assumptions!$F$182)/30))/30),F20+E20*(((Assumptions!$C$143+Assumptions!$F$182)-30*INT((Assumptions!$C$143+Assumptions!$F$182)/30))/30),F20+E20+0*(((Assumptions!$C$143+Assumptions!$F$182)-30*INT((Assumptions!$C$143+Assumptions!$F$182)/30))/30),F20+E20+0+0*(((Assumptions!$C$143+Assumptions!$F$182)-30*INT((Assumptions!$C$143+Assumptions!$F$182)/30))/30))</f>
        <v>272366.6136</v>
      </c>
      <c r="G22" s="65" t="n">
        <f aca="false">CHOOSE(INT((Assumptions!$C$143+Assumptions!$F$182)/30)+1,G20*(((Assumptions!$C$143+Assumptions!$F$182)-30*INT((Assumptions!$C$143+Assumptions!$F$182)/30))/30),G20+F20*(((Assumptions!$C$143+Assumptions!$F$182)-30*INT((Assumptions!$C$143+Assumptions!$F$182)/30))/30),G20+F20+E20*(((Assumptions!$C$143+Assumptions!$F$182)-30*INT((Assumptions!$C$143+Assumptions!$F$182)/30))/30),G20+F20+E20+0*(((Assumptions!$C$143+Assumptions!$F$182)-30*INT((Assumptions!$C$143+Assumptions!$F$182)/30))/30))</f>
        <v>316480.054</v>
      </c>
      <c r="H22" s="65" t="n">
        <f aca="false">CHOOSE(INT((Assumptions!$C$143+Assumptions!$F$182)/30)+1,H20*(((Assumptions!$C$143+Assumptions!$F$182)-30*INT((Assumptions!$C$143+Assumptions!$F$182)/30))/30),H20+G20*(((Assumptions!$C$143+Assumptions!$F$182)-30*INT((Assumptions!$C$143+Assumptions!$F$182)/30))/30),H20+G20+F20*(((Assumptions!$C$143+Assumptions!$F$182)-30*INT((Assumptions!$C$143+Assumptions!$F$182)/30))/30),H20+G20+F20+E20*(((Assumptions!$C$143+Assumptions!$F$182)-30*INT((Assumptions!$C$143+Assumptions!$F$182)/30))/30))</f>
        <v>476194.902666667</v>
      </c>
      <c r="I22" s="65" t="n">
        <f aca="false">CHOOSE(INT((Assumptions!$C$143+Assumptions!$F$182)/30)+1,I20*(((Assumptions!$C$143+Assumptions!$F$182)-30*INT((Assumptions!$C$143+Assumptions!$F$182)/30))/30),I20+H20*(((Assumptions!$C$143+Assumptions!$F$182)-30*INT((Assumptions!$C$143+Assumptions!$F$182)/30))/30),I20+H20+G20*(((Assumptions!$C$143+Assumptions!$F$182)-30*INT((Assumptions!$C$143+Assumptions!$F$182)/30))/30),I20+H20+G20+F20*(((Assumptions!$C$143+Assumptions!$F$182)-30*INT((Assumptions!$C$143+Assumptions!$F$182)/30))/30))</f>
        <v>337461.499066667</v>
      </c>
      <c r="J22" s="65" t="n">
        <f aca="false">CHOOSE(INT((Assumptions!$C$143+Assumptions!$F$182)/30)+1,J20*(((Assumptions!$C$143+Assumptions!$F$182)-30*INT((Assumptions!$C$143+Assumptions!$F$182)/30))/30),J20+I20*(((Assumptions!$C$143+Assumptions!$F$182)-30*INT((Assumptions!$C$143+Assumptions!$F$182)/30))/30),J20+I20+H20*(((Assumptions!$C$143+Assumptions!$F$182)-30*INT((Assumptions!$C$143+Assumptions!$F$182)/30))/30),J20+I20+H20+G20*(((Assumptions!$C$143+Assumptions!$F$182)-30*INT((Assumptions!$C$143+Assumptions!$F$182)/30))/30))</f>
        <v>310286.4472</v>
      </c>
      <c r="K22" s="65" t="n">
        <f aca="false">CHOOSE(INT((Assumptions!$C$143+Assumptions!$F$182)/30)+1,K20*(((Assumptions!$C$143+Assumptions!$F$182)-30*INT((Assumptions!$C$143+Assumptions!$F$182)/30))/30),K20+J20*(((Assumptions!$C$143+Assumptions!$F$182)-30*INT((Assumptions!$C$143+Assumptions!$F$182)/30))/30),K20+J20+I20*(((Assumptions!$C$143+Assumptions!$F$182)-30*INT((Assumptions!$C$143+Assumptions!$F$182)/30))/30),K20+J20+I20+H20*(((Assumptions!$C$143+Assumptions!$F$182)-30*INT((Assumptions!$C$143+Assumptions!$F$182)/30))/30))</f>
        <v>281743.6704</v>
      </c>
      <c r="L22" s="65" t="n">
        <f aca="false">CHOOSE(INT((Assumptions!$C$143+Assumptions!$F$182)/30)+1,L20*(((Assumptions!$C$143+Assumptions!$F$182)-30*INT((Assumptions!$C$143+Assumptions!$F$182)/30))/30),L20+K20*(((Assumptions!$C$143+Assumptions!$F$182)-30*INT((Assumptions!$C$143+Assumptions!$F$182)/30))/30),L20+K20+J20*(((Assumptions!$C$143+Assumptions!$F$182)-30*INT((Assumptions!$C$143+Assumptions!$F$182)/30))/30),L20+K20+J20+I20*(((Assumptions!$C$143+Assumptions!$F$182)-30*INT((Assumptions!$C$143+Assumptions!$F$182)/30))/30))</f>
        <v>97525.8133333333</v>
      </c>
      <c r="M22" s="65" t="n">
        <f aca="false">CHOOSE(INT((Assumptions!$C$143+Assumptions!$F$182)/30)+1,M20*(((Assumptions!$C$143+Assumptions!$F$182)-30*INT((Assumptions!$C$143+Assumptions!$F$182)/30))/30),M20+L20*(((Assumptions!$C$143+Assumptions!$F$182)-30*INT((Assumptions!$C$143+Assumptions!$F$182)/30))/30),M20+L20+K20*(((Assumptions!$C$143+Assumptions!$F$182)-30*INT((Assumptions!$C$143+Assumptions!$F$182)/30))/30),M20+L20+K20+J20*(((Assumptions!$C$143+Assumptions!$F$182)-30*INT((Assumptions!$C$143+Assumptions!$F$182)/30))/30))</f>
        <v>255321.55809168</v>
      </c>
      <c r="N22" s="65" t="n">
        <f aca="false">CHOOSE(INT((Assumptions!$C$143+Assumptions!$F$182)/30)+1,N20*(((Assumptions!$C$143+Assumptions!$F$182)-30*INT((Assumptions!$C$143+Assumptions!$F$182)/30))/30),N20+M20*(((Assumptions!$C$143+Assumptions!$F$182)-30*INT((Assumptions!$C$143+Assumptions!$F$182)/30))/30),N20+M20+L20*(((Assumptions!$C$143+Assumptions!$F$182)-30*INT((Assumptions!$C$143+Assumptions!$F$182)/30))/30),N20+M20+L20+K20*(((Assumptions!$C$143+Assumptions!$F$182)-30*INT((Assumptions!$C$143+Assumptions!$F$182)/30))/30))</f>
        <v>289298.671468336</v>
      </c>
      <c r="O22" s="65" t="n">
        <f aca="false">CHOOSE(INT((Assumptions!$C$143+Assumptions!$F$182)/30)+1,O20*(((Assumptions!$C$143+Assumptions!$F$182)-30*INT((Assumptions!$C$143+Assumptions!$F$182)/30))/30),O20+N20*(((Assumptions!$C$143+Assumptions!$F$182)-30*INT((Assumptions!$C$143+Assumptions!$F$182)/30))/30),O20+N20+M20*(((Assumptions!$C$143+Assumptions!$F$182)-30*INT((Assumptions!$C$143+Assumptions!$F$182)/30))/30),O20+N20+M20+L20*(((Assumptions!$C$143+Assumptions!$F$182)-30*INT((Assumptions!$C$143+Assumptions!$F$182)/30))/30))</f>
        <v>379501.262946816</v>
      </c>
      <c r="P22" s="65" t="n">
        <f aca="false">CHOOSE(INT((Assumptions!$C$143+Assumptions!$F$182)/30)+1,P20*(((Assumptions!$C$143+Assumptions!$F$182)-30*INT((Assumptions!$C$143+Assumptions!$F$182)/30))/30),P20+O20*(((Assumptions!$C$143+Assumptions!$F$182)-30*INT((Assumptions!$C$143+Assumptions!$F$182)/30))/30),P20+O20+N20*(((Assumptions!$C$143+Assumptions!$F$182)-30*INT((Assumptions!$C$143+Assumptions!$F$182)/30))/30),P20+O20+N20+M20*(((Assumptions!$C$143+Assumptions!$F$182)-30*INT((Assumptions!$C$143+Assumptions!$F$182)/30))/30))</f>
        <v>265074.486672448</v>
      </c>
      <c r="Q22" s="65" t="n">
        <f aca="false">CHOOSE(INT((Assumptions!$C$143+Assumptions!$F$182)/30)+1,Q20*(((Assumptions!$C$143+Assumptions!$F$182)-30*INT((Assumptions!$C$143+Assumptions!$F$182)/30))/30),Q20+P20*(((Assumptions!$C$143+Assumptions!$F$182)-30*INT((Assumptions!$C$143+Assumptions!$F$182)/30))/30),Q20+P20+O20*(((Assumptions!$C$143+Assumptions!$F$182)-30*INT((Assumptions!$C$143+Assumptions!$F$182)/30))/30),Q20+P20+O20+N20*(((Assumptions!$C$143+Assumptions!$F$182)-30*INT((Assumptions!$C$143+Assumptions!$F$182)/30))/30))</f>
        <v>474637.200343063</v>
      </c>
      <c r="R22" s="65" t="n">
        <f aca="false">CHOOSE(INT((Assumptions!$C$143+Assumptions!$F$182)/30)+1,R20*(((Assumptions!$C$143+Assumptions!$F$182)-30*INT((Assumptions!$C$143+Assumptions!$F$182)/30))/30),R20+Q20*(((Assumptions!$C$143+Assumptions!$F$182)-30*INT((Assumptions!$C$143+Assumptions!$F$182)/30))/30),R20+Q20+P20*(((Assumptions!$C$143+Assumptions!$F$182)-30*INT((Assumptions!$C$143+Assumptions!$F$182)/30))/30),R20+Q20+P20+O20*(((Assumptions!$C$143+Assumptions!$F$182)-30*INT((Assumptions!$C$143+Assumptions!$F$182)/30))/30))</f>
        <v>325935.91133982</v>
      </c>
      <c r="S22" s="65" t="n">
        <f aca="false">CHOOSE(INT((Assumptions!$C$143+Assumptions!$F$182)/30)+1,S20*(((Assumptions!$C$143+Assumptions!$F$182)-30*INT((Assumptions!$C$143+Assumptions!$F$182)/30))/30),S20+R20*(((Assumptions!$C$143+Assumptions!$F$182)-30*INT((Assumptions!$C$143+Assumptions!$F$182)/30))/30),S20+R20+Q20*(((Assumptions!$C$143+Assumptions!$F$182)-30*INT((Assumptions!$C$143+Assumptions!$F$182)/30))/30),S20+R20+Q20+P20*(((Assumptions!$C$143+Assumptions!$F$182)-30*INT((Assumptions!$C$143+Assumptions!$F$182)/30))/30))</f>
        <v>393737.16153994</v>
      </c>
      <c r="T22" s="65" t="n">
        <f aca="false">CHOOSE(INT((Assumptions!$C$143+Assumptions!$F$182)/30)+1,T20*(((Assumptions!$C$143+Assumptions!$F$182)-30*INT((Assumptions!$C$143+Assumptions!$F$182)/30))/30),T20+S20*(((Assumptions!$C$143+Assumptions!$F$182)-30*INT((Assumptions!$C$143+Assumptions!$F$182)/30))/30),T20+S20+R20*(((Assumptions!$C$143+Assumptions!$F$182)-30*INT((Assumptions!$C$143+Assumptions!$F$182)/30))/30),T20+S20+R20+Q20*(((Assumptions!$C$143+Assumptions!$F$182)-30*INT((Assumptions!$C$143+Assumptions!$F$182)/30))/30))</f>
        <v>534413.20518956</v>
      </c>
      <c r="U22" s="65" t="n">
        <f aca="false">CHOOSE(INT((Assumptions!$C$143+Assumptions!$F$182)/30)+1,U20*(((Assumptions!$C$143+Assumptions!$F$182)-30*INT((Assumptions!$C$143+Assumptions!$F$182)/30))/30),U20+T20*(((Assumptions!$C$143+Assumptions!$F$182)-30*INT((Assumptions!$C$143+Assumptions!$F$182)/30))/30),U20+T20+S20*(((Assumptions!$C$143+Assumptions!$F$182)-30*INT((Assumptions!$C$143+Assumptions!$F$182)/30))/30),U20+T20+S20+R20*(((Assumptions!$C$143+Assumptions!$F$182)-30*INT((Assumptions!$C$143+Assumptions!$F$182)/30))/30))</f>
        <v>347946.110566227</v>
      </c>
      <c r="V22" s="65" t="n">
        <f aca="false">CHOOSE(INT((Assumptions!$C$143+Assumptions!$F$182)/30)+1,V20*(((Assumptions!$C$143+Assumptions!$F$182)-30*INT((Assumptions!$C$143+Assumptions!$F$182)/30))/30),V20+U20*(((Assumptions!$C$143+Assumptions!$F$182)-30*INT((Assumptions!$C$143+Assumptions!$F$182)/30))/30),V20+U20+T20*(((Assumptions!$C$143+Assumptions!$F$182)-30*INT((Assumptions!$C$143+Assumptions!$F$182)/30))/30),V20+U20+T20+S20*(((Assumptions!$C$143+Assumptions!$F$182)-30*INT((Assumptions!$C$143+Assumptions!$F$182)/30))/30))</f>
        <v>362005.818471186</v>
      </c>
      <c r="W22" s="65" t="n">
        <f aca="false">CHOOSE(INT((Assumptions!$C$143+Assumptions!$F$182)/30)+1,W20*(((Assumptions!$C$143+Assumptions!$F$182)-30*INT((Assumptions!$C$143+Assumptions!$F$182)/30))/30),W20+V20*(((Assumptions!$C$143+Assumptions!$F$182)-30*INT((Assumptions!$C$143+Assumptions!$F$182)/30))/30),W20+V20+U20*(((Assumptions!$C$143+Assumptions!$F$182)-30*INT((Assumptions!$C$143+Assumptions!$F$182)/30))/30),W20+V20+U20+T20*(((Assumptions!$C$143+Assumptions!$F$182)-30*INT((Assumptions!$C$143+Assumptions!$F$182)/30))/30))</f>
        <v>364389.019686361</v>
      </c>
      <c r="X22" s="65" t="n">
        <f aca="false">CHOOSE(INT((Assumptions!$C$143+Assumptions!$F$182)/30)+1,X20*(((Assumptions!$C$143+Assumptions!$F$182)-30*INT((Assumptions!$C$143+Assumptions!$F$182)/30))/30),X20+W20*(((Assumptions!$C$143+Assumptions!$F$182)-30*INT((Assumptions!$C$143+Assumptions!$F$182)/30))/30),X20+W20+V20*(((Assumptions!$C$143+Assumptions!$F$182)-30*INT((Assumptions!$C$143+Assumptions!$F$182)/30))/30),X20+W20+V20+U20*(((Assumptions!$C$143+Assumptions!$F$182)-30*INT((Assumptions!$C$143+Assumptions!$F$182)/30))/30))</f>
        <v>186163.097634773</v>
      </c>
      <c r="Y22" s="65" t="n">
        <f aca="false">CHOOSE(INT((Assumptions!$C$143+Assumptions!$F$182)/30)+1,Y20*(((Assumptions!$C$143+Assumptions!$F$182)-30*INT((Assumptions!$C$143+Assumptions!$F$182)/30))/30),Y20+X20*(((Assumptions!$C$143+Assumptions!$F$182)-30*INT((Assumptions!$C$143+Assumptions!$F$182)/30))/30),Y20+X20+W20*(((Assumptions!$C$143+Assumptions!$F$182)-30*INT((Assumptions!$C$143+Assumptions!$F$182)/30))/30),Y20+X20+W20+V20*(((Assumptions!$C$143+Assumptions!$F$182)-30*INT((Assumptions!$C$143+Assumptions!$F$182)/30))/30))</f>
        <v>354650.723111472</v>
      </c>
      <c r="Z22" s="65" t="n">
        <f aca="false">CHOOSE(INT((Assumptions!$C$143+Assumptions!$F$182)/30)+1,Z20*(((Assumptions!$C$143+Assumptions!$F$182)-30*INT((Assumptions!$C$143+Assumptions!$F$182)/30))/30),Z20+Y20*(((Assumptions!$C$143+Assumptions!$F$182)-30*INT((Assumptions!$C$143+Assumptions!$F$182)/30))/30),Z20+Y20+X20*(((Assumptions!$C$143+Assumptions!$F$182)-30*INT((Assumptions!$C$143+Assumptions!$F$182)/30))/30),Z20+Y20+X20+W20*(((Assumptions!$C$143+Assumptions!$F$182)-30*INT((Assumptions!$C$143+Assumptions!$F$182)/30))/30))</f>
        <v>387355.027603685</v>
      </c>
      <c r="AA22" s="65" t="n">
        <f aca="false">CHOOSE(INT((Assumptions!$C$143+Assumptions!$F$182)/30)+1,AA20*(((Assumptions!$C$143+Assumptions!$F$182)-30*INT((Assumptions!$C$143+Assumptions!$F$182)/30))/30),AA20+Z20*(((Assumptions!$C$143+Assumptions!$F$182)-30*INT((Assumptions!$C$143+Assumptions!$F$182)/30))/30),AA20+Z20+Y20*(((Assumptions!$C$143+Assumptions!$F$182)-30*INT((Assumptions!$C$143+Assumptions!$F$182)/30))/30),AA20+Z20+Y20+X20*(((Assumptions!$C$143+Assumptions!$F$182)-30*INT((Assumptions!$C$143+Assumptions!$F$182)/30))/30))</f>
        <v>465190.352464437</v>
      </c>
      <c r="AB22" s="65" t="n">
        <f aca="false">CHOOSE(INT((Assumptions!$C$143+Assumptions!$F$182)/30)+1,AB20*(((Assumptions!$C$143+Assumptions!$F$182)-30*INT((Assumptions!$C$143+Assumptions!$F$182)/30))/30),AB20+AA20*(((Assumptions!$C$143+Assumptions!$F$182)-30*INT((Assumptions!$C$143+Assumptions!$F$182)/30))/30),AB20+AA20+Z20*(((Assumptions!$C$143+Assumptions!$F$182)-30*INT((Assumptions!$C$143+Assumptions!$F$182)/30))/30),AB20+AA20+Z20+Y20*(((Assumptions!$C$143+Assumptions!$F$182)-30*INT((Assumptions!$C$143+Assumptions!$F$182)/30))/30))</f>
        <v>345169.297457065</v>
      </c>
    </row>
    <row r="23" customFormat="false" ht="15" hidden="false" customHeight="false" outlineLevel="0" collapsed="false">
      <c r="A23" s="28" t="s">
        <v>1319</v>
      </c>
      <c r="B23" s="63" t="s">
        <v>1320</v>
      </c>
      <c r="C23" s="64" t="n">
        <f aca="false">SUM(E23:P23)</f>
        <v>2070774.65323512</v>
      </c>
      <c r="D23" s="64" t="n">
        <f aca="false">SUM(Q23:AB23)</f>
        <v>2664300.34445994</v>
      </c>
      <c r="E23" s="65" t="n">
        <f aca="false">IF(E$5="A",Inputs_Actuals!E217,Inputs_Actuals!$C$319-0+E20-E22)</f>
        <v>156629.74</v>
      </c>
      <c r="F23" s="65" t="n">
        <f aca="false">IF(F$5="A",Inputs_Actuals!F217,E27-E21+F20-F22)</f>
        <v>136183.31</v>
      </c>
      <c r="G23" s="65" t="n">
        <f aca="false">IF(G$5="A",Inputs_Actuals!G217,F27-F21+G20-G22)</f>
        <v>272366.61</v>
      </c>
      <c r="H23" s="65" t="n">
        <f aca="false">IF(H$5="A",Inputs_Actuals!H217,G27-G21+H20-H22)</f>
        <v>105493.35</v>
      </c>
      <c r="I23" s="65" t="n">
        <f aca="false">IF(I$5="A",Inputs_Actuals!I217,H27-H21+I20-I22)</f>
        <v>299389.44</v>
      </c>
      <c r="J23" s="65" t="n">
        <f aca="false">IF(J$5="A",Inputs_Actuals!J217,I27-I21+J20-J22)</f>
        <v>230357.48</v>
      </c>
      <c r="K23" s="65" t="n">
        <f aca="false">IF(K$5="A",Inputs_Actuals!K217,J27-J21+K20-K22)</f>
        <v>154610.32</v>
      </c>
      <c r="L23" s="65" t="n">
        <f aca="false">IF(L$5="A",Inputs_Actuals!L217,K27-K21+L20-L22)</f>
        <v>143775.5</v>
      </c>
      <c r="M23" s="65" t="n">
        <f aca="false">IF(M$5="A",Inputs_Actuals!M217,L27-L21+M20-M22)</f>
        <v>97525.8024</v>
      </c>
      <c r="N23" s="65" t="n">
        <f aca="false">IF(N$5="A",Inputs_Actuals!N217,M27-M21+N20-N22)</f>
        <v>85107.18603056</v>
      </c>
      <c r="O23" s="65" t="n">
        <f aca="false">IF(O$5="A",Inputs_Actuals!O217,N27-N21+O20-O22)</f>
        <v>209909.138530192</v>
      </c>
      <c r="P23" s="65" t="n">
        <f aca="false">IF(P$5="A",Inputs_Actuals!P217,O27-O21+P20-P22)</f>
        <v>179426.776274368</v>
      </c>
      <c r="Q23" s="65" t="n">
        <f aca="false">IF(Q$5="A",Inputs_Actuals!Q217,P27-P21+Q20-Q22)</f>
        <v>221741.153339115</v>
      </c>
      <c r="R23" s="65" t="n">
        <f aca="false">IF(R$5="A",Inputs_Actuals!R217,Q27-Q21+R20-R22)</f>
        <v>187101.289003243</v>
      </c>
      <c r="S23" s="65" t="n">
        <f aca="false">IF(S$5="A",Inputs_Actuals!S217,R27-R21+S20-S22)</f>
        <v>300335.91133982</v>
      </c>
      <c r="T23" s="65" t="n">
        <f aca="false">IF(T$5="A",Inputs_Actuals!T217,S27-S21+T20-T22)</f>
        <v>148312.38717998</v>
      </c>
      <c r="U23" s="65" t="n">
        <f aca="false">IF(U$5="A",Inputs_Actuals!U217,T27-T21+U20-U22)</f>
        <v>341754.25130316</v>
      </c>
      <c r="V23" s="65" t="n">
        <f aca="false">IF(V$5="A",Inputs_Actuals!V217,U27-U21+V20-V22)</f>
        <v>244421.339446342</v>
      </c>
      <c r="W23" s="65" t="n">
        <f aca="false">IF(W$5="A",Inputs_Actuals!W217,V27-V21+W20-W22)</f>
        <v>189685.120236985</v>
      </c>
      <c r="X23" s="65" t="n">
        <f aca="false">IF(X$5="A",Inputs_Actuals!X217,W27-W21+X20-X22)</f>
        <v>236343.472051587</v>
      </c>
      <c r="Y23" s="65" t="n">
        <f aca="false">IF(Y$5="A",Inputs_Actuals!Y217,X27-X21+Y20-Y22)</f>
        <v>147418.06430144</v>
      </c>
      <c r="Z23" s="65" t="n">
        <f aca="false">IF(Z$5="A",Inputs_Actuals!Z217,Y27-Y21+Z20-Z22)</f>
        <v>144046.929926046</v>
      </c>
      <c r="AA23" s="65" t="n">
        <f aca="false">IF(AA$5="A",Inputs_Actuals!AA217,Z27-Z21+AA20-AA22)</f>
        <v>269520.871324845</v>
      </c>
      <c r="AB23" s="65" t="n">
        <f aca="false">IF(AB$5="A",Inputs_Actuals!AB217,AA27-AA21+AB20-AB22)</f>
        <v>233619.555007372</v>
      </c>
    </row>
    <row r="24" customFormat="false" ht="15" hidden="false" customHeight="false" outlineLevel="0" collapsed="false">
      <c r="A24" s="28" t="s">
        <v>1321</v>
      </c>
      <c r="B24" s="63" t="s">
        <v>1322</v>
      </c>
      <c r="C24" s="64" t="n">
        <f aca="false">SUM(E24:P24)</f>
        <v>60663.54</v>
      </c>
      <c r="D24" s="64" t="n">
        <f aca="false">SUM(Q24:AB24)</f>
        <v>0</v>
      </c>
      <c r="E24" s="65" t="n">
        <f aca="false">IF(E$5="A",0,IF(Assumptions!E$188=Assumptions!$F$185,Assumptions!$C$147*Assumptions!$F$184,0))</f>
        <v>0</v>
      </c>
      <c r="F24" s="65" t="n">
        <f aca="false">IF(F$5="A",0,IF(Assumptions!F$188=Assumptions!$F$185,Assumptions!$C$147*Assumptions!$F$184,0))</f>
        <v>0</v>
      </c>
      <c r="G24" s="65" t="n">
        <f aca="false">IF(G$5="A",0,IF(Assumptions!G$188=Assumptions!$F$185,Assumptions!$C$147*Assumptions!$F$184,0))</f>
        <v>0</v>
      </c>
      <c r="H24" s="65" t="n">
        <f aca="false">IF(H$5="A",0,IF(Assumptions!H$188=Assumptions!$F$185,Assumptions!$C$147*Assumptions!$F$184,0))</f>
        <v>0</v>
      </c>
      <c r="I24" s="65" t="n">
        <f aca="false">IF(I$5="A",0,IF(Assumptions!I$188=Assumptions!$F$185,Assumptions!$C$147*Assumptions!$F$184,0))</f>
        <v>0</v>
      </c>
      <c r="J24" s="65" t="n">
        <f aca="false">IF(J$5="A",0,IF(Assumptions!J$188=Assumptions!$F$185,Assumptions!$C$147*Assumptions!$F$184,0))</f>
        <v>0</v>
      </c>
      <c r="K24" s="65" t="n">
        <f aca="false">IF(K$5="A",0,IF(Assumptions!K$188=Assumptions!$F$185,Assumptions!$C$147*Assumptions!$F$184,0))</f>
        <v>0</v>
      </c>
      <c r="L24" s="65" t="n">
        <f aca="false">IF(L$5="A",0,IF(Assumptions!L$188=Assumptions!$F$185,Assumptions!$C$147*Assumptions!$F$184,0))</f>
        <v>0</v>
      </c>
      <c r="M24" s="65" t="n">
        <f aca="false">IF(M$5="A",0,IF(Assumptions!M$188=Assumptions!$F$185,Assumptions!$C$147*Assumptions!$F$184,0))</f>
        <v>0</v>
      </c>
      <c r="N24" s="65" t="n">
        <f aca="false">IF(N$5="A",0,IF(Assumptions!N$188=Assumptions!$F$185,Assumptions!$C$147*Assumptions!$F$184,0))</f>
        <v>60663.54</v>
      </c>
      <c r="O24" s="65" t="n">
        <f aca="false">IF(O$5="A",0,IF(Assumptions!O$188=Assumptions!$F$185,Assumptions!$C$147*Assumptions!$F$184,0))</f>
        <v>0</v>
      </c>
      <c r="P24" s="65" t="n">
        <f aca="false">IF(P$5="A",0,IF(Assumptions!P$188=Assumptions!$F$185,Assumptions!$C$147*Assumptions!$F$184,0))</f>
        <v>0</v>
      </c>
      <c r="Q24" s="65" t="n">
        <f aca="false">IF(Q$5="A",0,IF(Assumptions!Q$188=Assumptions!$F$185,Assumptions!$C$147*Assumptions!$F$184,0))</f>
        <v>0</v>
      </c>
      <c r="R24" s="65" t="n">
        <f aca="false">IF(R$5="A",0,IF(Assumptions!R$188=Assumptions!$F$185,Assumptions!$C$147*Assumptions!$F$184,0))</f>
        <v>0</v>
      </c>
      <c r="S24" s="65" t="n">
        <f aca="false">IF(S$5="A",0,IF(Assumptions!S$188=Assumptions!$F$185,Assumptions!$C$147*Assumptions!$F$184,0))</f>
        <v>0</v>
      </c>
      <c r="T24" s="65" t="n">
        <f aca="false">IF(T$5="A",0,IF(Assumptions!T$188=Assumptions!$F$185,Assumptions!$C$147*Assumptions!$F$184,0))</f>
        <v>0</v>
      </c>
      <c r="U24" s="65" t="n">
        <f aca="false">IF(U$5="A",0,IF(Assumptions!U$188=Assumptions!$F$185,Assumptions!$C$147*Assumptions!$F$184,0))</f>
        <v>0</v>
      </c>
      <c r="V24" s="65" t="n">
        <f aca="false">IF(V$5="A",0,IF(Assumptions!V$188=Assumptions!$F$185,Assumptions!$C$147*Assumptions!$F$184,0))</f>
        <v>0</v>
      </c>
      <c r="W24" s="65" t="n">
        <f aca="false">IF(W$5="A",0,IF(Assumptions!W$188=Assumptions!$F$185,Assumptions!$C$147*Assumptions!$F$184,0))</f>
        <v>0</v>
      </c>
      <c r="X24" s="65" t="n">
        <f aca="false">IF(X$5="A",0,IF(Assumptions!X$188=Assumptions!$F$185,Assumptions!$C$147*Assumptions!$F$184,0))</f>
        <v>0</v>
      </c>
      <c r="Y24" s="65" t="n">
        <f aca="false">IF(Y$5="A",0,IF(Assumptions!Y$188=Assumptions!$F$185,Assumptions!$C$147*Assumptions!$F$184,0))</f>
        <v>0</v>
      </c>
      <c r="Z24" s="65" t="n">
        <f aca="false">IF(Z$5="A",0,IF(Assumptions!Z$188=Assumptions!$F$185,Assumptions!$C$147*Assumptions!$F$184,0))</f>
        <v>0</v>
      </c>
      <c r="AA24" s="65" t="n">
        <f aca="false">IF(AA$5="A",0,IF(Assumptions!AA$188=Assumptions!$F$185,Assumptions!$C$147*Assumptions!$F$184,0))</f>
        <v>0</v>
      </c>
      <c r="AB24" s="65" t="n">
        <f aca="false">IF(AB$5="A",0,IF(Assumptions!AB$188=Assumptions!$F$185,Assumptions!$C$147*Assumptions!$F$184,0))</f>
        <v>0</v>
      </c>
    </row>
    <row r="25" customFormat="false" ht="15" hidden="false" customHeight="false" outlineLevel="0" collapsed="false">
      <c r="A25" s="28" t="s">
        <v>1312</v>
      </c>
      <c r="B25" s="63" t="s">
        <v>1323</v>
      </c>
      <c r="C25" s="64" t="n">
        <f aca="false">SUM(E25:P25)</f>
        <v>0</v>
      </c>
      <c r="D25" s="64" t="n">
        <f aca="false">SUM(Q25:AB25)</f>
        <v>0</v>
      </c>
      <c r="E25" s="65" t="n">
        <f aca="false">IF(E$5="A",0,IF(Assumptions!E$188=Assumptions!$F$185,Assumptions!$C$147*(1-Assumptions!$F$184),0))</f>
        <v>0</v>
      </c>
      <c r="F25" s="65" t="n">
        <f aca="false">IF(F$5="A",0,IF(Assumptions!F$188=Assumptions!$F$185,Assumptions!$C$147*(1-Assumptions!$F$184),0))</f>
        <v>0</v>
      </c>
      <c r="G25" s="65" t="n">
        <f aca="false">IF(G$5="A",0,IF(Assumptions!G$188=Assumptions!$F$185,Assumptions!$C$147*(1-Assumptions!$F$184),0))</f>
        <v>0</v>
      </c>
      <c r="H25" s="65" t="n">
        <f aca="false">IF(H$5="A",0,IF(Assumptions!H$188=Assumptions!$F$185,Assumptions!$C$147*(1-Assumptions!$F$184),0))</f>
        <v>0</v>
      </c>
      <c r="I25" s="65" t="n">
        <f aca="false">IF(I$5="A",0,IF(Assumptions!I$188=Assumptions!$F$185,Assumptions!$C$147*(1-Assumptions!$F$184),0))</f>
        <v>0</v>
      </c>
      <c r="J25" s="65" t="n">
        <f aca="false">IF(J$5="A",0,IF(Assumptions!J$188=Assumptions!$F$185,Assumptions!$C$147*(1-Assumptions!$F$184),0))</f>
        <v>0</v>
      </c>
      <c r="K25" s="65" t="n">
        <f aca="false">IF(K$5="A",0,IF(Assumptions!K$188=Assumptions!$F$185,Assumptions!$C$147*(1-Assumptions!$F$184),0))</f>
        <v>0</v>
      </c>
      <c r="L25" s="65" t="n">
        <f aca="false">IF(L$5="A",0,IF(Assumptions!L$188=Assumptions!$F$185,Assumptions!$C$147*(1-Assumptions!$F$184),0))</f>
        <v>0</v>
      </c>
      <c r="M25" s="65" t="n">
        <f aca="false">IF(M$5="A",0,IF(Assumptions!M$188=Assumptions!$F$185,Assumptions!$C$147*(1-Assumptions!$F$184),0))</f>
        <v>0</v>
      </c>
      <c r="N25" s="65" t="n">
        <f aca="false">IF(N$5="A",0,IF(Assumptions!N$188=Assumptions!$F$185,Assumptions!$C$147*(1-Assumptions!$F$184),0))</f>
        <v>0</v>
      </c>
      <c r="O25" s="65" t="n">
        <f aca="false">IF(O$5="A",0,IF(Assumptions!O$188=Assumptions!$F$185,Assumptions!$C$147*(1-Assumptions!$F$184),0))</f>
        <v>0</v>
      </c>
      <c r="P25" s="65" t="n">
        <f aca="false">IF(P$5="A",0,IF(Assumptions!P$188=Assumptions!$F$185,Assumptions!$C$147*(1-Assumptions!$F$184),0))</f>
        <v>0</v>
      </c>
      <c r="Q25" s="65" t="n">
        <f aca="false">IF(Q$5="A",0,IF(Assumptions!Q$188=Assumptions!$F$185,Assumptions!$C$147*(1-Assumptions!$F$184),0))</f>
        <v>0</v>
      </c>
      <c r="R25" s="65" t="n">
        <f aca="false">IF(R$5="A",0,IF(Assumptions!R$188=Assumptions!$F$185,Assumptions!$C$147*(1-Assumptions!$F$184),0))</f>
        <v>0</v>
      </c>
      <c r="S25" s="65" t="n">
        <f aca="false">IF(S$5="A",0,IF(Assumptions!S$188=Assumptions!$F$185,Assumptions!$C$147*(1-Assumptions!$F$184),0))</f>
        <v>0</v>
      </c>
      <c r="T25" s="65" t="n">
        <f aca="false">IF(T$5="A",0,IF(Assumptions!T$188=Assumptions!$F$185,Assumptions!$C$147*(1-Assumptions!$F$184),0))</f>
        <v>0</v>
      </c>
      <c r="U25" s="65" t="n">
        <f aca="false">IF(U$5="A",0,IF(Assumptions!U$188=Assumptions!$F$185,Assumptions!$C$147*(1-Assumptions!$F$184),0))</f>
        <v>0</v>
      </c>
      <c r="V25" s="65" t="n">
        <f aca="false">IF(V$5="A",0,IF(Assumptions!V$188=Assumptions!$F$185,Assumptions!$C$147*(1-Assumptions!$F$184),0))</f>
        <v>0</v>
      </c>
      <c r="W25" s="65" t="n">
        <f aca="false">IF(W$5="A",0,IF(Assumptions!W$188=Assumptions!$F$185,Assumptions!$C$147*(1-Assumptions!$F$184),0))</f>
        <v>0</v>
      </c>
      <c r="X25" s="65" t="n">
        <f aca="false">IF(X$5="A",0,IF(Assumptions!X$188=Assumptions!$F$185,Assumptions!$C$147*(1-Assumptions!$F$184),0))</f>
        <v>0</v>
      </c>
      <c r="Y25" s="65" t="n">
        <f aca="false">IF(Y$5="A",0,IF(Assumptions!Y$188=Assumptions!$F$185,Assumptions!$C$147*(1-Assumptions!$F$184),0))</f>
        <v>0</v>
      </c>
      <c r="Z25" s="65" t="n">
        <f aca="false">IF(Z$5="A",0,IF(Assumptions!Z$188=Assumptions!$F$185,Assumptions!$C$147*(1-Assumptions!$F$184),0))</f>
        <v>0</v>
      </c>
      <c r="AA25" s="65" t="n">
        <f aca="false">IF(AA$5="A",0,IF(Assumptions!AA$188=Assumptions!$F$185,Assumptions!$C$147*(1-Assumptions!$F$184),0))</f>
        <v>0</v>
      </c>
      <c r="AB25" s="65" t="n">
        <f aca="false">IF(AB$5="A",0,IF(Assumptions!AB$188=Assumptions!$F$185,Assumptions!$C$147*(1-Assumptions!$F$184),0))</f>
        <v>0</v>
      </c>
    </row>
    <row r="26" customFormat="false" ht="15" hidden="false" customHeight="false" outlineLevel="0" collapsed="false">
      <c r="A26" s="28" t="s">
        <v>1310</v>
      </c>
      <c r="B26" s="63"/>
      <c r="C26" s="64" t="n">
        <f aca="false">SUM(E26:P26)</f>
        <v>2131438.19323512</v>
      </c>
      <c r="D26" s="64" t="n">
        <f aca="false">SUM(Q26:AB26)</f>
        <v>2664300.34445994</v>
      </c>
      <c r="E26" s="74" t="n">
        <f aca="false">E23+E24</f>
        <v>156629.74</v>
      </c>
      <c r="F26" s="74" t="n">
        <f aca="false">F23+F24</f>
        <v>136183.31</v>
      </c>
      <c r="G26" s="74" t="n">
        <f aca="false">G23+G24</f>
        <v>272366.61</v>
      </c>
      <c r="H26" s="74" t="n">
        <f aca="false">H23+H24</f>
        <v>105493.35</v>
      </c>
      <c r="I26" s="74" t="n">
        <f aca="false">I23+I24</f>
        <v>299389.44</v>
      </c>
      <c r="J26" s="74" t="n">
        <f aca="false">J23+J24</f>
        <v>230357.48</v>
      </c>
      <c r="K26" s="74" t="n">
        <f aca="false">K23+K24</f>
        <v>154610.32</v>
      </c>
      <c r="L26" s="74" t="n">
        <f aca="false">L23+L24</f>
        <v>143775.5</v>
      </c>
      <c r="M26" s="74" t="n">
        <f aca="false">M23+M24</f>
        <v>97525.8024</v>
      </c>
      <c r="N26" s="74" t="n">
        <f aca="false">N23+N24</f>
        <v>145770.72603056</v>
      </c>
      <c r="O26" s="74" t="n">
        <f aca="false">O23+O24</f>
        <v>209909.138530192</v>
      </c>
      <c r="P26" s="74" t="n">
        <f aca="false">P23+P24</f>
        <v>179426.776274368</v>
      </c>
      <c r="Q26" s="74" t="n">
        <f aca="false">Q23+Q24</f>
        <v>221741.153339115</v>
      </c>
      <c r="R26" s="74" t="n">
        <f aca="false">R23+R24</f>
        <v>187101.289003243</v>
      </c>
      <c r="S26" s="74" t="n">
        <f aca="false">S23+S24</f>
        <v>300335.91133982</v>
      </c>
      <c r="T26" s="74" t="n">
        <f aca="false">T23+T24</f>
        <v>148312.38717998</v>
      </c>
      <c r="U26" s="74" t="n">
        <f aca="false">U23+U24</f>
        <v>341754.25130316</v>
      </c>
      <c r="V26" s="74" t="n">
        <f aca="false">V23+V24</f>
        <v>244421.339446342</v>
      </c>
      <c r="W26" s="74" t="n">
        <f aca="false">W23+W24</f>
        <v>189685.120236985</v>
      </c>
      <c r="X26" s="74" t="n">
        <f aca="false">X23+X24</f>
        <v>236343.472051587</v>
      </c>
      <c r="Y26" s="74" t="n">
        <f aca="false">Y23+Y24</f>
        <v>147418.06430144</v>
      </c>
      <c r="Z26" s="74" t="n">
        <f aca="false">Z23+Z24</f>
        <v>144046.929926046</v>
      </c>
      <c r="AA26" s="74" t="n">
        <f aca="false">AA23+AA24</f>
        <v>269520.871324845</v>
      </c>
      <c r="AB26" s="74" t="n">
        <f aca="false">AB23+AB24</f>
        <v>233619.555007372</v>
      </c>
    </row>
    <row r="27" customFormat="false" ht="15" hidden="false" customHeight="false" outlineLevel="0" collapsed="false">
      <c r="A27" s="59" t="s">
        <v>1324</v>
      </c>
      <c r="B27" s="60"/>
      <c r="C27" s="61" t="n">
        <f aca="false">P27</f>
        <v>265074.486672448</v>
      </c>
      <c r="D27" s="61" t="n">
        <f aca="false">AB27</f>
        <v>345169.297457065</v>
      </c>
      <c r="E27" s="62" t="n">
        <f aca="false">Inputs_Actuals!$C$319+E20-E26-E25</f>
        <v>408549.9204</v>
      </c>
      <c r="F27" s="61" t="n">
        <f aca="false">E27+F20-F26-F25</f>
        <v>272366.6104</v>
      </c>
      <c r="G27" s="61" t="n">
        <f aca="false">F27+G20-G26-G25</f>
        <v>316480.0544</v>
      </c>
      <c r="H27" s="61" t="n">
        <f aca="false">G27+H20-H26-H25</f>
        <v>476194.9044</v>
      </c>
      <c r="I27" s="61" t="n">
        <f aca="false">H27+I20-I26-I25</f>
        <v>337461.4968</v>
      </c>
      <c r="J27" s="61" t="n">
        <f aca="false">I27+J20-J26-J25</f>
        <v>310286.4424</v>
      </c>
      <c r="K27" s="61" t="n">
        <f aca="false">J27+K20-K26-K25</f>
        <v>301964.8424</v>
      </c>
      <c r="L27" s="61" t="n">
        <f aca="false">K27+L20-L26-L25</f>
        <v>158189.3424</v>
      </c>
      <c r="M27" s="61" t="n">
        <f aca="false">L27+M20-M26-M25</f>
        <v>315985.09809168</v>
      </c>
      <c r="N27" s="61" t="n">
        <f aca="false">M27+N20-N26-N25</f>
        <v>289298.671468336</v>
      </c>
      <c r="O27" s="61" t="n">
        <f aca="false">N27+O20-O26-O25</f>
        <v>379501.262946816</v>
      </c>
      <c r="P27" s="61" t="n">
        <f aca="false">O27+P20-P26-P25</f>
        <v>265074.486672448</v>
      </c>
      <c r="Q27" s="61" t="n">
        <f aca="false">P27+Q20-Q26-Q25</f>
        <v>474637.200343063</v>
      </c>
      <c r="R27" s="61" t="n">
        <f aca="false">Q27+R20-R26-R25</f>
        <v>325935.91133982</v>
      </c>
      <c r="S27" s="61" t="n">
        <f aca="false">R27+S20-S26-S25</f>
        <v>393737.16153994</v>
      </c>
      <c r="T27" s="61" t="n">
        <f aca="false">S27+T20-T26-T25</f>
        <v>534413.20518956</v>
      </c>
      <c r="U27" s="61" t="n">
        <f aca="false">T27+U20-U26-U25</f>
        <v>347946.110566227</v>
      </c>
      <c r="V27" s="61" t="n">
        <f aca="false">U27+V20-V26-V25</f>
        <v>362005.818471186</v>
      </c>
      <c r="W27" s="61" t="n">
        <f aca="false">V27+W20-W26-W25</f>
        <v>364389.019686361</v>
      </c>
      <c r="X27" s="61" t="n">
        <f aca="false">W27+X20-X26-X25</f>
        <v>186163.097634773</v>
      </c>
      <c r="Y27" s="61" t="n">
        <f aca="false">X27+Y20-Y26-Y25</f>
        <v>354650.723111472</v>
      </c>
      <c r="Z27" s="61" t="n">
        <f aca="false">Y27+Z20-Z26-Z25</f>
        <v>387355.027603685</v>
      </c>
      <c r="AA27" s="61" t="n">
        <f aca="false">Z27+AA20-AA26-AA25</f>
        <v>465190.352464437</v>
      </c>
      <c r="AB27" s="61" t="n">
        <f aca="false">AA27+AB20-AB26-AB25</f>
        <v>345169.297457065</v>
      </c>
    </row>
    <row r="28" customFormat="false" ht="15" hidden="false" customHeight="false" outlineLevel="0" collapsed="false">
      <c r="A28" s="22" t="s">
        <v>1325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1326</v>
      </c>
      <c r="B29" s="63"/>
      <c r="C29" s="64" t="n">
        <f aca="false">P29</f>
        <v>502884.796430079</v>
      </c>
      <c r="D29" s="64" t="n">
        <f aca="false">AB29</f>
        <v>647903.680682387</v>
      </c>
      <c r="E29" s="74" t="n">
        <f aca="false">E18+E27</f>
        <v>844884.341497</v>
      </c>
      <c r="F29" s="74" t="n">
        <f aca="false">F18+F27</f>
        <v>525782.813792</v>
      </c>
      <c r="G29" s="74" t="n">
        <f aca="false">G18+G27</f>
        <v>618279.686738</v>
      </c>
      <c r="H29" s="74" t="n">
        <f aca="false">H18+H27</f>
        <v>788703.610651</v>
      </c>
      <c r="I29" s="74" t="n">
        <f aca="false">I18+I27</f>
        <v>623000.536876</v>
      </c>
      <c r="J29" s="74" t="n">
        <f aca="false">J18+J27</f>
        <v>555784.191215</v>
      </c>
      <c r="K29" s="74" t="n">
        <f aca="false">K18+K27</f>
        <v>621420.193399</v>
      </c>
      <c r="L29" s="74" t="n">
        <f aca="false">L18+L27</f>
        <v>395590.127313</v>
      </c>
      <c r="M29" s="74" t="n">
        <f aca="false">M18+M27</f>
        <v>587507.08067714</v>
      </c>
      <c r="N29" s="74" t="n">
        <f aca="false">N18+N27</f>
        <v>547070.696649946</v>
      </c>
      <c r="O29" s="74" t="n">
        <f aca="false">O18+O27</f>
        <v>647919.290787371</v>
      </c>
      <c r="P29" s="74" t="n">
        <f aca="false">P18+P27</f>
        <v>502884.796430079</v>
      </c>
      <c r="Q29" s="74" t="n">
        <f aca="false">Q18+Q27</f>
        <v>986903.768408971</v>
      </c>
      <c r="R29" s="74" t="n">
        <f aca="false">R18+R27</f>
        <v>659516.907205815</v>
      </c>
      <c r="S29" s="74" t="n">
        <f aca="false">S18+S27</f>
        <v>762800.381109483</v>
      </c>
      <c r="T29" s="74" t="n">
        <f aca="false">T18+T27</f>
        <v>918295.361832533</v>
      </c>
      <c r="U29" s="74" t="n">
        <f aca="false">U18+U27</f>
        <v>702716.226488167</v>
      </c>
      <c r="V29" s="74" t="n">
        <f aca="false">V18+V27</f>
        <v>677566.070053564</v>
      </c>
      <c r="W29" s="74" t="n">
        <f aca="false">W18+W27</f>
        <v>748880.481253907</v>
      </c>
      <c r="X29" s="74" t="n">
        <f aca="false">X18+X27</f>
        <v>469348.794567162</v>
      </c>
      <c r="Y29" s="74" t="n">
        <f aca="false">Y18+Y27</f>
        <v>700039.748882004</v>
      </c>
      <c r="Z29" s="74" t="n">
        <f aca="false">Z18+Z27</f>
        <v>725303.825565824</v>
      </c>
      <c r="AA29" s="74" t="n">
        <f aca="false">AA18+AA27</f>
        <v>809495.928438347</v>
      </c>
      <c r="AB29" s="74" t="n">
        <f aca="false">AB18+AB27</f>
        <v>647903.680682387</v>
      </c>
    </row>
    <row r="30" customFormat="false" ht="15" hidden="false" customHeight="false" outlineLevel="0" collapsed="false">
      <c r="A30" s="28" t="s">
        <v>1327</v>
      </c>
      <c r="B30" s="63" t="s">
        <v>1328</v>
      </c>
      <c r="C30" s="64" t="n">
        <f aca="false">P30</f>
        <v>2514.4239821504</v>
      </c>
      <c r="D30" s="64" t="n">
        <f aca="false">AB30</f>
        <v>3239.51840341194</v>
      </c>
      <c r="E30" s="65" t="n">
        <f aca="false">IF(E$5="A",Assumptions!$C$146*E29,Assumptions!$F$183*E29)</f>
        <v>6759.074731976</v>
      </c>
      <c r="F30" s="65" t="n">
        <f aca="false">IF(F$5="A",Assumptions!$C$146*F29,Assumptions!$F$183*F29)</f>
        <v>4206.262510336</v>
      </c>
      <c r="G30" s="65" t="n">
        <f aca="false">IF(G$5="A",Assumptions!$C$146*G29,Assumptions!$F$183*G29)</f>
        <v>4946.237493904</v>
      </c>
      <c r="H30" s="65" t="n">
        <f aca="false">IF(H$5="A",Assumptions!$C$146*H29,Assumptions!$F$183*H29)</f>
        <v>6309.628885208</v>
      </c>
      <c r="I30" s="65" t="n">
        <f aca="false">IF(I$5="A",Assumptions!$C$146*I29,Assumptions!$F$183*I29)</f>
        <v>4984.004295008</v>
      </c>
      <c r="J30" s="65" t="n">
        <f aca="false">IF(J$5="A",Assumptions!$C$146*J29,Assumptions!$F$183*J29)</f>
        <v>4446.27352972</v>
      </c>
      <c r="K30" s="65" t="n">
        <f aca="false">IF(K$5="A",Assumptions!$C$146*K29,Assumptions!$F$183*K29)</f>
        <v>4971.361547192</v>
      </c>
      <c r="L30" s="65" t="n">
        <f aca="false">IF(L$5="A",Assumptions!$C$146*L29,Assumptions!$F$183*L29)</f>
        <v>3164.721018504</v>
      </c>
      <c r="M30" s="65" t="n">
        <f aca="false">IF(M$5="A",Assumptions!$C$146*M29,Assumptions!$F$183*M29)</f>
        <v>2937.5354033857</v>
      </c>
      <c r="N30" s="65" t="n">
        <f aca="false">IF(N$5="A",Assumptions!$C$146*N29,Assumptions!$F$183*N29)</f>
        <v>2735.35348324973</v>
      </c>
      <c r="O30" s="65" t="n">
        <f aca="false">IF(O$5="A",Assumptions!$C$146*O29,Assumptions!$F$183*O29)</f>
        <v>3239.59645393686</v>
      </c>
      <c r="P30" s="65" t="n">
        <f aca="false">IF(P$5="A",Assumptions!$C$146*P29,Assumptions!$F$183*P29)</f>
        <v>2514.4239821504</v>
      </c>
      <c r="Q30" s="65" t="n">
        <f aca="false">IF(Q$5="A",Assumptions!$C$146*Q29,Assumptions!$F$183*Q29)</f>
        <v>4934.51884204485</v>
      </c>
      <c r="R30" s="65" t="n">
        <f aca="false">IF(R$5="A",Assumptions!$C$146*R29,Assumptions!$F$183*R29)</f>
        <v>3297.58453602908</v>
      </c>
      <c r="S30" s="65" t="n">
        <f aca="false">IF(S$5="A",Assumptions!$C$146*S29,Assumptions!$F$183*S29)</f>
        <v>3814.00190554742</v>
      </c>
      <c r="T30" s="65" t="n">
        <f aca="false">IF(T$5="A",Assumptions!$C$146*T29,Assumptions!$F$183*T29)</f>
        <v>4591.47680916267</v>
      </c>
      <c r="U30" s="65" t="n">
        <f aca="false">IF(U$5="A",Assumptions!$C$146*U29,Assumptions!$F$183*U29)</f>
        <v>3513.58113244083</v>
      </c>
      <c r="V30" s="65" t="n">
        <f aca="false">IF(V$5="A",Assumptions!$C$146*V29,Assumptions!$F$183*V29)</f>
        <v>3387.83035026782</v>
      </c>
      <c r="W30" s="65" t="n">
        <f aca="false">IF(W$5="A",Assumptions!$C$146*W29,Assumptions!$F$183*W29)</f>
        <v>3744.40240626954</v>
      </c>
      <c r="X30" s="65" t="n">
        <f aca="false">IF(X$5="A",Assumptions!$C$146*X29,Assumptions!$F$183*X29)</f>
        <v>2346.74397283581</v>
      </c>
      <c r="Y30" s="65" t="n">
        <f aca="false">IF(Y$5="A",Assumptions!$C$146*Y29,Assumptions!$F$183*Y29)</f>
        <v>3500.19874441002</v>
      </c>
      <c r="Z30" s="65" t="n">
        <f aca="false">IF(Z$5="A",Assumptions!$C$146*Z29,Assumptions!$F$183*Z29)</f>
        <v>3626.51912782912</v>
      </c>
      <c r="AA30" s="65" t="n">
        <f aca="false">IF(AA$5="A",Assumptions!$C$146*AA29,Assumptions!$F$183*AA29)</f>
        <v>4047.47964219173</v>
      </c>
      <c r="AB30" s="65" t="n">
        <f aca="false">IF(AB$5="A",Assumptions!$C$146*AB29,Assumptions!$F$183*AB29)</f>
        <v>3239.51840341194</v>
      </c>
    </row>
    <row r="31" customFormat="false" ht="15" hidden="false" customHeight="false" outlineLevel="0" collapsed="false">
      <c r="A31" s="59" t="s">
        <v>1329</v>
      </c>
      <c r="B31" s="60" t="s">
        <v>1330</v>
      </c>
      <c r="C31" s="61" t="n">
        <f aca="false">SUM(E31:P31)</f>
        <v>9641.2339821504</v>
      </c>
      <c r="D31" s="61" t="n">
        <f aca="false">SUM(Q31:AB31)</f>
        <v>725.094421261541</v>
      </c>
      <c r="E31" s="62" t="n">
        <f aca="false">E17+E25+E30-Inputs_Actuals!$C$320</f>
        <v>4085.884731976</v>
      </c>
      <c r="F31" s="61" t="n">
        <f aca="false">F17+F25+F30-E30</f>
        <v>-2552.81222164</v>
      </c>
      <c r="G31" s="61" t="n">
        <f aca="false">G17+G25+G30-F30</f>
        <v>739.974983568</v>
      </c>
      <c r="H31" s="61" t="n">
        <f aca="false">H17+H25+H30-G30</f>
        <v>1363.391391304</v>
      </c>
      <c r="I31" s="61" t="n">
        <f aca="false">I17+I25+I30-H30</f>
        <v>-1325.6245902</v>
      </c>
      <c r="J31" s="61" t="n">
        <f aca="false">J17+J25+J30-I30</f>
        <v>9262.269234712</v>
      </c>
      <c r="K31" s="61" t="n">
        <f aca="false">K17+K25+K30-J30</f>
        <v>525.088017472</v>
      </c>
      <c r="L31" s="61" t="n">
        <f aca="false">L17+L25+L30-K30</f>
        <v>-1806.640528688</v>
      </c>
      <c r="M31" s="61" t="n">
        <f aca="false">M17+M25+M30-L30</f>
        <v>-227.185615118302</v>
      </c>
      <c r="N31" s="61" t="n">
        <f aca="false">N17+N25+N30-M30</f>
        <v>-202.181920135968</v>
      </c>
      <c r="O31" s="61" t="n">
        <f aca="false">O17+O25+O30-N30</f>
        <v>504.242970687127</v>
      </c>
      <c r="P31" s="61" t="n">
        <f aca="false">P17+P25+P30-O30</f>
        <v>-725.17247178646</v>
      </c>
      <c r="Q31" s="61" t="n">
        <f aca="false">Q17+Q25+Q30-P30</f>
        <v>2420.09485989446</v>
      </c>
      <c r="R31" s="61" t="n">
        <f aca="false">R17+R25+R30-Q30</f>
        <v>-1636.93430601578</v>
      </c>
      <c r="S31" s="61" t="n">
        <f aca="false">S17+S25+S30-R30</f>
        <v>516.41736951834</v>
      </c>
      <c r="T31" s="61" t="n">
        <f aca="false">T17+T25+T30-S30</f>
        <v>777.474903615251</v>
      </c>
      <c r="U31" s="61" t="n">
        <f aca="false">U17+U25+U30-T30</f>
        <v>-1077.89567672183</v>
      </c>
      <c r="V31" s="61" t="n">
        <f aca="false">V17+V25+V30-U30</f>
        <v>-125.750782173013</v>
      </c>
      <c r="W31" s="61" t="n">
        <f aca="false">W17+W25+W30-V30</f>
        <v>356.572056001714</v>
      </c>
      <c r="X31" s="61" t="n">
        <f aca="false">X17+X25+X30-W30</f>
        <v>-1397.65843343372</v>
      </c>
      <c r="Y31" s="61" t="n">
        <f aca="false">Y17+Y25+Y30-X30</f>
        <v>1153.45477157421</v>
      </c>
      <c r="Z31" s="61" t="n">
        <f aca="false">Z17+Z25+Z30-Y30</f>
        <v>126.320383419104</v>
      </c>
      <c r="AA31" s="61" t="n">
        <f aca="false">AA17+AA25+AA30-Z30</f>
        <v>420.960514362611</v>
      </c>
      <c r="AB31" s="61" t="n">
        <f aca="false">AB17+AB25+AB30-AA30</f>
        <v>-807.961238779796</v>
      </c>
    </row>
    <row r="32" customFormat="false" ht="15" hidden="false" customHeight="false" outlineLevel="0" collapsed="false">
      <c r="A32" s="59" t="s">
        <v>1331</v>
      </c>
      <c r="B32" s="60"/>
      <c r="C32" s="61" t="n">
        <f aca="false">P32</f>
        <v>500370.372447929</v>
      </c>
      <c r="D32" s="61" t="n">
        <f aca="false">AB32</f>
        <v>644664.162278976</v>
      </c>
      <c r="E32" s="61" t="n">
        <f aca="false">E29-E30</f>
        <v>838125.266765024</v>
      </c>
      <c r="F32" s="61" t="n">
        <f aca="false">F29-F30</f>
        <v>521576.551281664</v>
      </c>
      <c r="G32" s="61" t="n">
        <f aca="false">G29-G30</f>
        <v>613333.449244096</v>
      </c>
      <c r="H32" s="61" t="n">
        <f aca="false">H29-H30</f>
        <v>782393.981765792</v>
      </c>
      <c r="I32" s="61" t="n">
        <f aca="false">I29-I30</f>
        <v>618016.532580992</v>
      </c>
      <c r="J32" s="61" t="n">
        <f aca="false">J29-J30</f>
        <v>551337.91768528</v>
      </c>
      <c r="K32" s="61" t="n">
        <f aca="false">K29-K30</f>
        <v>616448.831851808</v>
      </c>
      <c r="L32" s="61" t="n">
        <f aca="false">L29-L30</f>
        <v>392425.406294496</v>
      </c>
      <c r="M32" s="61" t="n">
        <f aca="false">M29-M30</f>
        <v>584569.545273754</v>
      </c>
      <c r="N32" s="61" t="n">
        <f aca="false">N29-N30</f>
        <v>544335.343166696</v>
      </c>
      <c r="O32" s="61" t="n">
        <f aca="false">O29-O30</f>
        <v>644679.694333435</v>
      </c>
      <c r="P32" s="61" t="n">
        <f aca="false">P29-P30</f>
        <v>500370.372447929</v>
      </c>
      <c r="Q32" s="61" t="n">
        <f aca="false">Q29-Q30</f>
        <v>981969.249566926</v>
      </c>
      <c r="R32" s="61" t="n">
        <f aca="false">R29-R30</f>
        <v>656219.322669786</v>
      </c>
      <c r="S32" s="61" t="n">
        <f aca="false">S29-S30</f>
        <v>758986.379203936</v>
      </c>
      <c r="T32" s="61" t="n">
        <f aca="false">T29-T30</f>
        <v>913703.885023371</v>
      </c>
      <c r="U32" s="61" t="n">
        <f aca="false">U29-U30</f>
        <v>699202.645355726</v>
      </c>
      <c r="V32" s="61" t="n">
        <f aca="false">V29-V30</f>
        <v>674178.239703296</v>
      </c>
      <c r="W32" s="61" t="n">
        <f aca="false">W29-W30</f>
        <v>745136.078847638</v>
      </c>
      <c r="X32" s="61" t="n">
        <f aca="false">X29-X30</f>
        <v>467002.050594327</v>
      </c>
      <c r="Y32" s="61" t="n">
        <f aca="false">Y29-Y30</f>
        <v>696539.550137594</v>
      </c>
      <c r="Z32" s="61" t="n">
        <f aca="false">Z29-Z30</f>
        <v>721677.306437995</v>
      </c>
      <c r="AA32" s="61" t="n">
        <f aca="false">AA29-AA30</f>
        <v>805448.448796155</v>
      </c>
      <c r="AB32" s="61" t="n">
        <f aca="false">AB29-AB30</f>
        <v>644664.162278976</v>
      </c>
    </row>
    <row r="33" customFormat="false" ht="15" hidden="false" customHeight="false" outlineLevel="0" collapsed="false">
      <c r="A33" s="28" t="s">
        <v>1332</v>
      </c>
      <c r="B33" s="63"/>
      <c r="C33" s="68" t="n">
        <f aca="false">P33</f>
        <v>40.8260521542708</v>
      </c>
      <c r="D33" s="68" t="n">
        <f aca="false">AB33</f>
        <v>40.4329805683121</v>
      </c>
      <c r="E33" s="69" t="n">
        <f aca="false">IFERROR(E29/SUM(E14:E14,E20:E20)*SUM(Assumptions!E$193:E$193),0)</f>
        <v>31.9342037044425</v>
      </c>
      <c r="F33" s="69" t="n">
        <f aca="false">IFERROR(F29/SUM(E14:F14,E20:F20)*SUM(Assumptions!E$193:F$193),0)</f>
        <v>30.8674272161838</v>
      </c>
      <c r="G33" s="69" t="n">
        <f aca="false">IFERROR(G29/SUM(E14:G14,E20:G20)*SUM(Assumptions!E$193:G$193),0)</f>
        <v>34.9429280795968</v>
      </c>
      <c r="H33" s="69" t="n">
        <f aca="false">IFERROR(H29/SUM(F14:H14,F20:H20)*SUM(Assumptions!F$193:H$193),0)</f>
        <v>53.7955218796906</v>
      </c>
      <c r="I33" s="69" t="n">
        <f aca="false">IFERROR(I29/SUM(G14:I14,G20:I20)*SUM(Assumptions!G$193:I$193),0)</f>
        <v>37.8698831917693</v>
      </c>
      <c r="J33" s="69" t="n">
        <f aca="false">IFERROR(J29/SUM(H14:J14,H20:J20)*SUM(Assumptions!H$193:J$193),0)</f>
        <v>37.8594017968808</v>
      </c>
      <c r="K33" s="69" t="n">
        <f aca="false">IFERROR(K29/SUM(I14:K14,I20:K20)*SUM(Assumptions!I$193:K$193),0)</f>
        <v>46.3053840712533</v>
      </c>
      <c r="L33" s="69" t="n">
        <f aca="false">IFERROR(L29/SUM(J14:L14,J20:L20)*SUM(Assumptions!J$193:L$193),0)</f>
        <v>35.2975170124793</v>
      </c>
      <c r="M33" s="69" t="n">
        <f aca="false">IFERROR(M29/SUM(K14:M14,K20:M20)*SUM(Assumptions!K$193:M$193),0)</f>
        <v>48.4156405039759</v>
      </c>
      <c r="N33" s="69" t="n">
        <f aca="false">IFERROR(N29/SUM(L14:N14,L20:N20)*SUM(Assumptions!L$193:N$193),0)</f>
        <v>49.2484657158473</v>
      </c>
      <c r="O33" s="69" t="n">
        <f aca="false">IFERROR(O29/SUM(M14:O14,M20:O20)*SUM(Assumptions!M$193:O$193),0)</f>
        <v>43.2167153727838</v>
      </c>
      <c r="P33" s="69" t="n">
        <f aca="false">IFERROR(P29/SUM(N14:P14,N20:P20)*SUM(Assumptions!N$193:P$193),0)</f>
        <v>40.8260521542708</v>
      </c>
      <c r="Q33" s="69" t="n">
        <f aca="false">IFERROR(Q29/SUM(O14:Q14,O20:Q20)*SUM(Assumptions!O$193:Q$193),0)</f>
        <v>53.1980643069358</v>
      </c>
      <c r="R33" s="69" t="n">
        <f aca="false">IFERROR(R29/SUM(P14:R14,P20:R20)*SUM(Assumptions!P$193:R$193),0)</f>
        <v>40.4710535583901</v>
      </c>
      <c r="S33" s="69" t="n">
        <f aca="false">IFERROR(S29/SUM(Q14:S14,Q20:S20)*SUM(Assumptions!Q$193:S$193),0)</f>
        <v>36.1816110825113</v>
      </c>
      <c r="T33" s="69" t="n">
        <f aca="false">IFERROR(T29/SUM(R14:T14,R20:T20)*SUM(Assumptions!R$193:T$193),0)</f>
        <v>50.9066518700923</v>
      </c>
      <c r="U33" s="69" t="n">
        <f aca="false">IFERROR(U29/SUM(S14:U14,S20:U20)*SUM(Assumptions!S$193:U$193),0)</f>
        <v>36.5568907401895</v>
      </c>
      <c r="V33" s="69" t="n">
        <f aca="false">IFERROR(V29/SUM(T14:V14,T20:V20)*SUM(Assumptions!T$193:V$193),0)</f>
        <v>38.5938411051736</v>
      </c>
      <c r="W33" s="69" t="n">
        <f aca="false">IFERROR(W29/SUM(U14:W14,U20:W20)*SUM(Assumptions!U$193:W$193),0)</f>
        <v>45.5814677114804</v>
      </c>
      <c r="X33" s="69" t="n">
        <f aca="false">IFERROR(X29/SUM(V14:X14,V20:X20)*SUM(Assumptions!V$193:X$193),0)</f>
        <v>32.2009218754679</v>
      </c>
      <c r="Y33" s="69" t="n">
        <f aca="false">IFERROR(Y29/SUM(W14:Y14,W20:Y20)*SUM(Assumptions!W$193:Y$193),0)</f>
        <v>44.7110212347008</v>
      </c>
      <c r="Z33" s="69" t="n">
        <f aca="false">IFERROR(Z29/SUM(X14:Z14,X20:Z20)*SUM(Assumptions!X$193:Z$193),0)</f>
        <v>48.6506807300175</v>
      </c>
      <c r="AA33" s="69" t="n">
        <f aca="false">IFERROR(AA29/SUM(Y14:AA14,Y20:AA20)*SUM(Assumptions!Y$193:AA$193),0)</f>
        <v>42.559343876928</v>
      </c>
      <c r="AB33" s="69" t="n">
        <f aca="false">IFERROR(AB29/SUM(Z14:AB14,Z20:AB20)*SUM(Assumptions!Z$193:AB$193),0)</f>
        <v>40.4329805683121</v>
      </c>
    </row>
    <row r="34" customFormat="false" ht="15" hidden="false" customHeight="false" outlineLevel="0" collapsed="false">
      <c r="A34" s="59" t="s">
        <v>1333</v>
      </c>
      <c r="B34" s="60"/>
      <c r="C34" s="61" t="n">
        <f aca="false">SUM(E34:P34)</f>
        <v>7530987.298291</v>
      </c>
      <c r="D34" s="61" t="n">
        <f aca="false">SUM(Q34:AB34)</f>
        <v>9407942.08525581</v>
      </c>
      <c r="E34" s="61" t="n">
        <f aca="false">E11+E16+E26</f>
        <v>502777.88</v>
      </c>
      <c r="F34" s="61" t="n">
        <f aca="false">F11+F16+F26</f>
        <v>700253.4</v>
      </c>
      <c r="G34" s="61" t="n">
        <f aca="false">G11+G16+G26</f>
        <v>696475.02</v>
      </c>
      <c r="H34" s="61" t="n">
        <f aca="false">H11+H16+H26</f>
        <v>566761.74</v>
      </c>
      <c r="I34" s="61" t="n">
        <f aca="false">I11+I16+I26</f>
        <v>765429.04</v>
      </c>
      <c r="J34" s="61" t="n">
        <f aca="false">J11+J16+J26</f>
        <v>674818.28</v>
      </c>
      <c r="K34" s="61" t="n">
        <f aca="false">K11+K16+K26</f>
        <v>578873.85</v>
      </c>
      <c r="L34" s="61" t="n">
        <f aca="false">L11+L16+L26</f>
        <v>629743.85</v>
      </c>
      <c r="M34" s="61" t="n">
        <f aca="false">M11+M16+M26</f>
        <v>521418.348877203</v>
      </c>
      <c r="N34" s="61" t="n">
        <f aca="false">N11+N16+N26</f>
        <v>599741.138012968</v>
      </c>
      <c r="O34" s="61" t="n">
        <f aca="false">O11+O16+O26</f>
        <v>657330.281149677</v>
      </c>
      <c r="P34" s="61" t="n">
        <f aca="false">P11+P16+P26</f>
        <v>637364.470251155</v>
      </c>
      <c r="Q34" s="61" t="n">
        <f aca="false">Q11+Q16+Q26</f>
        <v>671047.365087096</v>
      </c>
      <c r="R34" s="61" t="n">
        <f aca="false">R11+R16+R26</f>
        <v>868157.175938634</v>
      </c>
      <c r="S34" s="61" t="n">
        <f aca="false">S11+S16+S26</f>
        <v>843941.183157586</v>
      </c>
      <c r="T34" s="61" t="n">
        <f aca="false">T11+T16+T26</f>
        <v>718478.101452813</v>
      </c>
      <c r="U34" s="61" t="n">
        <f aca="false">U11+U16+U26</f>
        <v>929523.940830116</v>
      </c>
      <c r="V34" s="61" t="n">
        <f aca="false">V11+V16+V26</f>
        <v>810823.235061348</v>
      </c>
      <c r="W34" s="61" t="n">
        <f aca="false">W11+W16+W26</f>
        <v>724664.881010908</v>
      </c>
      <c r="X34" s="61" t="n">
        <f aca="false">X11+X16+X26</f>
        <v>828651.789884146</v>
      </c>
      <c r="Y34" s="61" t="n">
        <f aca="false">Y11+Y16+Y26</f>
        <v>661148.254403698</v>
      </c>
      <c r="Z34" s="61" t="n">
        <f aca="false">Z11+Z16+Z26</f>
        <v>710451.947011889</v>
      </c>
      <c r="AA34" s="61" t="n">
        <f aca="false">AA11+AA16+AA26</f>
        <v>835175.301722814</v>
      </c>
      <c r="AB34" s="61" t="n">
        <f aca="false">AB11+AB16+AB26</f>
        <v>805878.909694759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1334</v>
      </c>
    </row>
    <row r="3" customFormat="false" ht="15" hidden="false" customHeight="false" outlineLevel="0" collapsed="false">
      <c r="A3" s="25" t="s">
        <v>1335</v>
      </c>
    </row>
    <row r="4" customFormat="false" ht="15" hidden="false" customHeight="false" outlineLevel="0" collapsed="false">
      <c r="A4" s="0" t="s">
        <v>1336</v>
      </c>
      <c r="B4" s="124" t="n">
        <f aca="false">Assumptions!$C$15</f>
        <v>46265</v>
      </c>
    </row>
    <row r="6" customFormat="false" ht="30" hidden="false" customHeight="true" outlineLevel="0" collapsed="false">
      <c r="A6" s="26" t="s">
        <v>1337</v>
      </c>
      <c r="B6" s="27" t="s">
        <v>1338</v>
      </c>
      <c r="C6" s="27" t="s">
        <v>1339</v>
      </c>
      <c r="D6" s="27" t="s">
        <v>1340</v>
      </c>
      <c r="E6" s="27" t="s">
        <v>1341</v>
      </c>
      <c r="F6" s="27" t="s">
        <v>1342</v>
      </c>
      <c r="G6" s="27" t="s">
        <v>1343</v>
      </c>
      <c r="H6" s="27" t="s">
        <v>1344</v>
      </c>
      <c r="I6" s="27" t="s">
        <v>1345</v>
      </c>
      <c r="J6" s="27" t="s">
        <v>1346</v>
      </c>
      <c r="K6" s="27" t="s">
        <v>1347</v>
      </c>
      <c r="L6" s="27" t="s">
        <v>1348</v>
      </c>
    </row>
    <row r="7" customFormat="false" ht="15" hidden="false" customHeight="false" outlineLevel="0" collapsed="false">
      <c r="A7" s="15" t="s">
        <v>1349</v>
      </c>
      <c r="B7" s="15" t="s">
        <v>1350</v>
      </c>
      <c r="C7" s="15" t="s">
        <v>532</v>
      </c>
      <c r="D7" s="110" t="n">
        <v>189899.77</v>
      </c>
      <c r="E7" s="125" t="n">
        <v>46295</v>
      </c>
      <c r="F7" s="126" t="n">
        <f aca="false">MAX(0,$B$4-E7)</f>
        <v>0</v>
      </c>
      <c r="G7" s="29" t="n">
        <f aca="false">IF(E7&gt;=$B$4,D7,0)</f>
        <v>189899.77</v>
      </c>
      <c r="H7" s="29" t="n">
        <f aca="false">IF(AND(F7&gt;=1,F7&lt;=30),D7,0)</f>
        <v>0</v>
      </c>
      <c r="I7" s="29" t="n">
        <f aca="false">IF(AND(F7&gt;30,F7&lt;=60),D7,0)</f>
        <v>0</v>
      </c>
      <c r="J7" s="29" t="n">
        <f aca="false">IF(AND(F7&gt;60,F7&lt;=90),D7,0)</f>
        <v>0</v>
      </c>
      <c r="K7" s="29" t="n">
        <f aca="false">IF(F7&gt;90,D7,0)</f>
        <v>0</v>
      </c>
      <c r="L7" s="47" t="s">
        <v>1351</v>
      </c>
    </row>
    <row r="8" customFormat="false" ht="15" hidden="false" customHeight="false" outlineLevel="0" collapsed="false">
      <c r="A8" s="15" t="s">
        <v>1349</v>
      </c>
      <c r="B8" s="15" t="s">
        <v>1352</v>
      </c>
      <c r="C8" s="15" t="s">
        <v>532</v>
      </c>
      <c r="D8" s="110" t="n">
        <v>47501.03</v>
      </c>
      <c r="E8" s="125" t="n">
        <v>46264</v>
      </c>
      <c r="F8" s="126" t="n">
        <f aca="false">MAX(0,$B$4-E8)</f>
        <v>1</v>
      </c>
      <c r="G8" s="29" t="n">
        <f aca="false">IF(E8&gt;=$B$4,D8,0)</f>
        <v>0</v>
      </c>
      <c r="H8" s="29" t="n">
        <f aca="false">IF(AND(F8&gt;=1,F8&lt;=30),D8,0)</f>
        <v>47501.03</v>
      </c>
      <c r="I8" s="29" t="n">
        <f aca="false">IF(AND(F8&gt;30,F8&lt;=60),D8,0)</f>
        <v>0</v>
      </c>
      <c r="J8" s="29" t="n">
        <f aca="false">IF(AND(F8&gt;60,F8&lt;=90),D8,0)</f>
        <v>0</v>
      </c>
      <c r="K8" s="29" t="n">
        <f aca="false">IF(F8&gt;90,D8,0)</f>
        <v>0</v>
      </c>
      <c r="L8" s="47" t="s">
        <v>1353</v>
      </c>
    </row>
    <row r="9" customFormat="false" ht="15" hidden="false" customHeight="false" outlineLevel="0" collapsed="false">
      <c r="A9" s="15" t="s">
        <v>1354</v>
      </c>
      <c r="B9" s="15" t="s">
        <v>1355</v>
      </c>
      <c r="C9" s="15" t="s">
        <v>1356</v>
      </c>
      <c r="D9" s="110" t="n">
        <v>97525.81</v>
      </c>
      <c r="E9" s="125" t="n">
        <v>46279</v>
      </c>
      <c r="F9" s="126" t="n">
        <f aca="false">MAX(0,$B$4-E9)</f>
        <v>0</v>
      </c>
      <c r="G9" s="29" t="n">
        <f aca="false">IF(E9&gt;=$B$4,D9,0)</f>
        <v>97525.81</v>
      </c>
      <c r="H9" s="29" t="n">
        <f aca="false">IF(AND(F9&gt;=1,F9&lt;=30),D9,0)</f>
        <v>0</v>
      </c>
      <c r="I9" s="29" t="n">
        <f aca="false">IF(AND(F9&gt;30,F9&lt;=60),D9,0)</f>
        <v>0</v>
      </c>
      <c r="J9" s="29" t="n">
        <f aca="false">IF(AND(F9&gt;60,F9&lt;=90),D9,0)</f>
        <v>0</v>
      </c>
      <c r="K9" s="29" t="n">
        <f aca="false">IF(F9&gt;90,D9,0)</f>
        <v>0</v>
      </c>
      <c r="L9" s="47" t="s">
        <v>1357</v>
      </c>
    </row>
    <row r="10" customFormat="false" ht="22.35" hidden="false" customHeight="false" outlineLevel="0" collapsed="false">
      <c r="A10" s="15" t="s">
        <v>1358</v>
      </c>
      <c r="B10" s="15" t="s">
        <v>1359</v>
      </c>
      <c r="C10" s="15" t="s">
        <v>1356</v>
      </c>
      <c r="D10" s="110" t="n">
        <v>60663.54</v>
      </c>
      <c r="E10" s="125" t="n">
        <v>46248</v>
      </c>
      <c r="F10" s="126" t="n">
        <f aca="false">MAX(0,$B$4-E10)</f>
        <v>17</v>
      </c>
      <c r="G10" s="29" t="n">
        <f aca="false">IF(E10&gt;=$B$4,D10,0)</f>
        <v>0</v>
      </c>
      <c r="H10" s="29" t="n">
        <f aca="false">IF(AND(F10&gt;=1,F10&lt;=30),D10,0)</f>
        <v>60663.54</v>
      </c>
      <c r="I10" s="29" t="n">
        <f aca="false">IF(AND(F10&gt;30,F10&lt;=60),D10,0)</f>
        <v>0</v>
      </c>
      <c r="J10" s="29" t="n">
        <f aca="false">IF(AND(F10&gt;60,F10&lt;=90),D10,0)</f>
        <v>0</v>
      </c>
      <c r="K10" s="29" t="n">
        <f aca="false">IF(F10&gt;90,D10,0)</f>
        <v>0</v>
      </c>
      <c r="L10" s="47" t="s">
        <v>1360</v>
      </c>
    </row>
    <row r="11" customFormat="false" ht="15" hidden="false" customHeight="false" outlineLevel="0" collapsed="false">
      <c r="A11" s="83" t="s">
        <v>744</v>
      </c>
      <c r="D11" s="84" t="n">
        <f aca="false">SUM(D7:D10)</f>
        <v>395590.15</v>
      </c>
      <c r="G11" s="84" t="n">
        <f aca="false">SUM(G7:G10)</f>
        <v>287425.58</v>
      </c>
      <c r="H11" s="84" t="n">
        <f aca="false">SUM(H7:H10)</f>
        <v>108164.57</v>
      </c>
      <c r="I11" s="84" t="n">
        <f aca="false">SUM(I7:I10)</f>
        <v>0</v>
      </c>
      <c r="J11" s="84" t="n">
        <f aca="false">SUM(J7:J10)</f>
        <v>0</v>
      </c>
      <c r="K11" s="84" t="n">
        <f aca="false">SUM(K7:K10)</f>
        <v>0</v>
      </c>
    </row>
    <row r="12" customFormat="false" ht="15" hidden="false" customHeight="false" outlineLevel="0" collapsed="false">
      <c r="A12" s="14" t="s">
        <v>1361</v>
      </c>
      <c r="G12" s="118" t="n">
        <f aca="false">IF($D$11=0,0,G11/$D$11)</f>
        <v>0.726574157622479</v>
      </c>
      <c r="H12" s="118" t="n">
        <f aca="false">IF($D$11=0,0,H11/$D$11)</f>
        <v>0.273425842377521</v>
      </c>
      <c r="I12" s="118" t="n">
        <f aca="false">IF($D$11=0,0,I11/$D$11)</f>
        <v>0</v>
      </c>
      <c r="J12" s="118" t="n">
        <f aca="false">IF($D$11=0,0,J11/$D$11)</f>
        <v>0</v>
      </c>
      <c r="K12" s="118" t="n">
        <f aca="false">IF($D$11=0,0,K11/$D$11)</f>
        <v>0</v>
      </c>
    </row>
    <row r="14" customFormat="false" ht="15" hidden="false" customHeight="false" outlineLevel="0" collapsed="false">
      <c r="A14" s="5" t="s">
        <v>1362</v>
      </c>
      <c r="D14" s="29" t="n">
        <f aca="false">SUMIFS(D7:D10,C7:C10,"Professional customers")</f>
        <v>237400.8</v>
      </c>
      <c r="E14" s="127" t="s">
        <v>1363</v>
      </c>
      <c r="F14" s="65" t="n">
        <f aca="false">INDEX(Receivables!$E$18:$AB$18,Assumptions!$C$10)</f>
        <v>237400.784913</v>
      </c>
      <c r="G14" s="127" t="s">
        <v>1364</v>
      </c>
      <c r="H14" s="36" t="n">
        <f aca="false">ROUND(D14-F14,0)</f>
        <v>0</v>
      </c>
    </row>
    <row r="15" customFormat="false" ht="15" hidden="false" customHeight="false" outlineLevel="0" collapsed="false">
      <c r="A15" s="5" t="s">
        <v>1365</v>
      </c>
      <c r="D15" s="29" t="n">
        <f aca="false">SUMIFS(D7:D10,C7:C10,"Enterprise accounts")</f>
        <v>158189.35</v>
      </c>
      <c r="E15" s="127" t="s">
        <v>1363</v>
      </c>
      <c r="F15" s="65" t="n">
        <f aca="false">INDEX(Receivables!$E$27:$AB$27,Assumptions!$C$10)</f>
        <v>158189.3424</v>
      </c>
      <c r="G15" s="127" t="s">
        <v>1364</v>
      </c>
      <c r="H15" s="36" t="n">
        <f aca="false">ROUND(D15-F15,0)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1366</v>
      </c>
    </row>
    <row r="3" customFormat="false" ht="15" hidden="false" customHeight="false" outlineLevel="0" collapsed="false">
      <c r="A3" s="25" t="s">
        <v>1367</v>
      </c>
    </row>
    <row r="4" customFormat="false" ht="15" hidden="false" customHeight="false" outlineLevel="0" collapsed="false">
      <c r="A4" s="0" t="s">
        <v>1336</v>
      </c>
      <c r="B4" s="124" t="n">
        <f aca="false">Assumptions!$C$15</f>
        <v>46265</v>
      </c>
    </row>
    <row r="6" customFormat="false" ht="30" hidden="false" customHeight="true" outlineLevel="0" collapsed="false">
      <c r="A6" s="26" t="s">
        <v>1337</v>
      </c>
      <c r="B6" s="27" t="s">
        <v>1338</v>
      </c>
      <c r="C6" s="27" t="s">
        <v>1339</v>
      </c>
      <c r="D6" s="27" t="s">
        <v>1340</v>
      </c>
      <c r="E6" s="27" t="s">
        <v>1341</v>
      </c>
      <c r="F6" s="27" t="s">
        <v>1342</v>
      </c>
      <c r="G6" s="27" t="s">
        <v>1343</v>
      </c>
      <c r="H6" s="27" t="s">
        <v>1344</v>
      </c>
      <c r="I6" s="27" t="s">
        <v>1345</v>
      </c>
      <c r="J6" s="27" t="s">
        <v>1346</v>
      </c>
      <c r="K6" s="27" t="s">
        <v>1347</v>
      </c>
      <c r="L6" s="27" t="s">
        <v>1348</v>
      </c>
    </row>
    <row r="7" customFormat="false" ht="22.35" hidden="false" customHeight="false" outlineLevel="0" collapsed="false">
      <c r="A7" s="15" t="s">
        <v>1368</v>
      </c>
      <c r="B7" s="15" t="s">
        <v>1369</v>
      </c>
      <c r="C7" s="15" t="s">
        <v>1370</v>
      </c>
      <c r="D7" s="110" t="n">
        <v>57077.91</v>
      </c>
      <c r="E7" s="125" t="n">
        <v>46270</v>
      </c>
      <c r="F7" s="126" t="n">
        <f aca="false">MAX(0,$B$4-E7)</f>
        <v>0</v>
      </c>
      <c r="G7" s="29" t="n">
        <f aca="false">IF(E7&gt;=$B$4,D7,0)</f>
        <v>57077.91</v>
      </c>
      <c r="H7" s="29" t="n">
        <f aca="false">IF(AND(F7&gt;=1,F7&lt;=30),D7,0)</f>
        <v>0</v>
      </c>
      <c r="I7" s="29" t="n">
        <f aca="false">IF(AND(F7&gt;30,F7&lt;=60),D7,0)</f>
        <v>0</v>
      </c>
      <c r="J7" s="29" t="n">
        <f aca="false">IF(AND(F7&gt;60,F7&lt;=90),D7,0)</f>
        <v>0</v>
      </c>
      <c r="K7" s="29" t="n">
        <f aca="false">IF(F7&gt;90,D7,0)</f>
        <v>0</v>
      </c>
      <c r="L7" s="47" t="s">
        <v>1371</v>
      </c>
    </row>
    <row r="8" customFormat="false" ht="15" hidden="false" customHeight="false" outlineLevel="0" collapsed="false">
      <c r="A8" s="15" t="s">
        <v>1372</v>
      </c>
      <c r="B8" s="15" t="s">
        <v>1373</v>
      </c>
      <c r="C8" s="15" t="s">
        <v>542</v>
      </c>
      <c r="D8" s="110" t="n">
        <v>26711.78</v>
      </c>
      <c r="E8" s="125" t="n">
        <v>46280</v>
      </c>
      <c r="F8" s="126" t="n">
        <f aca="false">MAX(0,$B$4-E8)</f>
        <v>0</v>
      </c>
      <c r="G8" s="29" t="n">
        <f aca="false">IF(E8&gt;=$B$4,D8,0)</f>
        <v>26711.78</v>
      </c>
      <c r="H8" s="29" t="n">
        <f aca="false">IF(AND(F8&gt;=1,F8&lt;=30),D8,0)</f>
        <v>0</v>
      </c>
      <c r="I8" s="29" t="n">
        <f aca="false">IF(AND(F8&gt;30,F8&lt;=60),D8,0)</f>
        <v>0</v>
      </c>
      <c r="J8" s="29" t="n">
        <f aca="false">IF(AND(F8&gt;60,F8&lt;=90),D8,0)</f>
        <v>0</v>
      </c>
      <c r="K8" s="29" t="n">
        <f aca="false">IF(F8&gt;90,D8,0)</f>
        <v>0</v>
      </c>
      <c r="L8" s="47" t="s">
        <v>1374</v>
      </c>
    </row>
    <row r="9" customFormat="false" ht="15" hidden="false" customHeight="false" outlineLevel="0" collapsed="false">
      <c r="A9" s="15" t="s">
        <v>1375</v>
      </c>
      <c r="B9" s="15" t="s">
        <v>1376</v>
      </c>
      <c r="C9" s="15" t="s">
        <v>1375</v>
      </c>
      <c r="D9" s="110" t="n">
        <v>61346.42</v>
      </c>
      <c r="E9" s="125" t="n">
        <v>46295</v>
      </c>
      <c r="F9" s="126" t="n">
        <f aca="false">MAX(0,$B$4-E9)</f>
        <v>0</v>
      </c>
      <c r="G9" s="29" t="n">
        <f aca="false">IF(E9&gt;=$B$4,D9,0)</f>
        <v>61346.42</v>
      </c>
      <c r="H9" s="29" t="n">
        <f aca="false">IF(AND(F9&gt;=1,F9&lt;=30),D9,0)</f>
        <v>0</v>
      </c>
      <c r="I9" s="29" t="n">
        <f aca="false">IF(AND(F9&gt;30,F9&lt;=60),D9,0)</f>
        <v>0</v>
      </c>
      <c r="J9" s="29" t="n">
        <f aca="false">IF(AND(F9&gt;60,F9&lt;=90),D9,0)</f>
        <v>0</v>
      </c>
      <c r="K9" s="29" t="n">
        <f aca="false">IF(F9&gt;90,D9,0)</f>
        <v>0</v>
      </c>
      <c r="L9" s="47" t="s">
        <v>1377</v>
      </c>
    </row>
    <row r="10" customFormat="false" ht="15" hidden="false" customHeight="false" outlineLevel="0" collapsed="false">
      <c r="A10" s="15" t="s">
        <v>1378</v>
      </c>
      <c r="B10" s="15" t="s">
        <v>1379</v>
      </c>
      <c r="C10" s="15" t="s">
        <v>1375</v>
      </c>
      <c r="D10" s="110" t="n">
        <v>2098.56</v>
      </c>
      <c r="E10" s="125" t="n">
        <v>46265</v>
      </c>
      <c r="F10" s="126" t="n">
        <f aca="false">MAX(0,$B$4-E10)</f>
        <v>0</v>
      </c>
      <c r="G10" s="29" t="n">
        <f aca="false">IF(E10&gt;=$B$4,D10,0)</f>
        <v>2098.56</v>
      </c>
      <c r="H10" s="29" t="n">
        <f aca="false">IF(AND(F10&gt;=1,F10&lt;=30),D10,0)</f>
        <v>0</v>
      </c>
      <c r="I10" s="29" t="n">
        <f aca="false">IF(AND(F10&gt;30,F10&lt;=60),D10,0)</f>
        <v>0</v>
      </c>
      <c r="J10" s="29" t="n">
        <f aca="false">IF(AND(F10&gt;60,F10&lt;=90),D10,0)</f>
        <v>0</v>
      </c>
      <c r="K10" s="29" t="n">
        <f aca="false">IF(F10&gt;90,D10,0)</f>
        <v>0</v>
      </c>
      <c r="L10" s="47" t="s">
        <v>1380</v>
      </c>
    </row>
    <row r="11" customFormat="false" ht="15" hidden="false" customHeight="false" outlineLevel="0" collapsed="false">
      <c r="A11" s="83" t="s">
        <v>744</v>
      </c>
      <c r="D11" s="84" t="n">
        <f aca="false">SUM(D7:D10)</f>
        <v>147234.67</v>
      </c>
      <c r="G11" s="84" t="n">
        <f aca="false">SUM(G7:G10)</f>
        <v>147234.67</v>
      </c>
      <c r="H11" s="84" t="n">
        <f aca="false">SUM(H7:H10)</f>
        <v>0</v>
      </c>
      <c r="I11" s="84" t="n">
        <f aca="false">SUM(I7:I10)</f>
        <v>0</v>
      </c>
      <c r="J11" s="84" t="n">
        <f aca="false">SUM(J7:J10)</f>
        <v>0</v>
      </c>
      <c r="K11" s="84" t="n">
        <f aca="false">SUM(K7:K10)</f>
        <v>0</v>
      </c>
    </row>
    <row r="12" customFormat="false" ht="15" hidden="false" customHeight="false" outlineLevel="0" collapsed="false">
      <c r="A12" s="14" t="s">
        <v>1361</v>
      </c>
      <c r="G12" s="118" t="n">
        <f aca="false">IF($D$11=0,0,G11/$D$11)</f>
        <v>1</v>
      </c>
      <c r="H12" s="118" t="n">
        <f aca="false">IF($D$11=0,0,H11/$D$11)</f>
        <v>0</v>
      </c>
      <c r="I12" s="118" t="n">
        <f aca="false">IF($D$11=0,0,I11/$D$11)</f>
        <v>0</v>
      </c>
      <c r="J12" s="118" t="n">
        <f aca="false">IF($D$11=0,0,J11/$D$11)</f>
        <v>0</v>
      </c>
      <c r="K12" s="118" t="n">
        <f aca="false">IF($D$11=0,0,K11/$D$11)</f>
        <v>0</v>
      </c>
    </row>
    <row r="14" customFormat="false" ht="15" hidden="false" customHeight="false" outlineLevel="0" collapsed="false">
      <c r="A14" s="5" t="s">
        <v>1381</v>
      </c>
      <c r="D14" s="29" t="n">
        <f aca="false">SUMIFS(D7:D10,C7:C10,"Cloud and software")</f>
        <v>57077.91</v>
      </c>
      <c r="E14" s="127" t="s">
        <v>1363</v>
      </c>
      <c r="F14" s="65" t="n">
        <f aca="false">INDEX(Payables!$E$11:$AB$11,Assumptions!$C$10)</f>
        <v>57077.91</v>
      </c>
      <c r="G14" s="127" t="s">
        <v>1364</v>
      </c>
      <c r="H14" s="36" t="n">
        <f aca="false">ROUND(D14-F14,0)</f>
        <v>0</v>
      </c>
    </row>
    <row r="15" customFormat="false" ht="15" hidden="false" customHeight="false" outlineLevel="0" collapsed="false">
      <c r="A15" s="5" t="s">
        <v>1382</v>
      </c>
      <c r="D15" s="29" t="n">
        <f aca="false">SUMIFS(D7:D10,C7:C10,"Paid media")</f>
        <v>26711.78</v>
      </c>
      <c r="E15" s="127" t="s">
        <v>1363</v>
      </c>
      <c r="F15" s="65" t="n">
        <f aca="false">INDEX(Payables!$E$15:$AB$15,Assumptions!$C$10)</f>
        <v>26711.78</v>
      </c>
      <c r="G15" s="127" t="s">
        <v>1364</v>
      </c>
      <c r="H15" s="36" t="n">
        <f aca="false">ROUND(D15-F15,0)</f>
        <v>0</v>
      </c>
    </row>
    <row r="16" customFormat="false" ht="15" hidden="false" customHeight="false" outlineLevel="0" collapsed="false">
      <c r="A16" s="5" t="s">
        <v>1383</v>
      </c>
      <c r="D16" s="29" t="n">
        <f aca="false">SUMIFS(D7:D10,C7:C10,"Spanish suppliers")</f>
        <v>63444.98</v>
      </c>
      <c r="E16" s="127" t="s">
        <v>1363</v>
      </c>
      <c r="F16" s="65" t="n">
        <f aca="false">INDEX(Payables!$E$19:$AB$19,Assumptions!$C$10)</f>
        <v>63444.96205</v>
      </c>
      <c r="G16" s="127" t="s">
        <v>1364</v>
      </c>
      <c r="H16" s="36" t="n">
        <f aca="false">ROUND(D16-F16,0)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1384</v>
      </c>
    </row>
    <row r="3" customFormat="false" ht="15" hidden="false" customHeight="false" outlineLevel="0" collapsed="false">
      <c r="A3" s="50" t="s">
        <v>1385</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1386</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1387</v>
      </c>
      <c r="B9" s="63" t="s">
        <v>1388</v>
      </c>
      <c r="C9" s="64" t="n">
        <f aca="false">SUM(E9:P9)</f>
        <v>666029.575444314</v>
      </c>
      <c r="D9" s="64" t="n">
        <f aca="false">SUM(Q9:AB9)</f>
        <v>789061.691616649</v>
      </c>
      <c r="E9" s="65" t="n">
        <f aca="false">Overheads!E9+Overheads!E10+Overheads!E11</f>
        <v>52433.05</v>
      </c>
      <c r="F9" s="65" t="n">
        <f aca="false">Overheads!F9+Overheads!F10+Overheads!F11</f>
        <v>53515.25</v>
      </c>
      <c r="G9" s="65" t="n">
        <f aca="false">Overheads!G9+Overheads!G10+Overheads!G11</f>
        <v>52397.87</v>
      </c>
      <c r="H9" s="65" t="n">
        <f aca="false">Overheads!H9+Overheads!H10+Overheads!H11</f>
        <v>54290.39</v>
      </c>
      <c r="I9" s="65" t="n">
        <f aca="false">Overheads!I9+Overheads!I10+Overheads!I11</f>
        <v>54703.69</v>
      </c>
      <c r="J9" s="65" t="n">
        <f aca="false">Overheads!J9+Overheads!J10+Overheads!J11</f>
        <v>55827.87</v>
      </c>
      <c r="K9" s="65" t="n">
        <f aca="false">Overheads!K9+Overheads!K10+Overheads!K11</f>
        <v>55234.4</v>
      </c>
      <c r="L9" s="65" t="n">
        <f aca="false">Overheads!L9+Overheads!L10+Overheads!L11</f>
        <v>57077.91</v>
      </c>
      <c r="M9" s="65" t="n">
        <f aca="false">Overheads!M9+Overheads!M10+Overheads!M11</f>
        <v>56804.4589610682</v>
      </c>
      <c r="N9" s="65" t="n">
        <f aca="false">Overheads!N9+Overheads!N10+Overheads!N11</f>
        <v>57213.1047137646</v>
      </c>
      <c r="O9" s="65" t="n">
        <f aca="false">Overheads!O9+Overheads!O10+Overheads!O11</f>
        <v>58015.0353832541</v>
      </c>
      <c r="P9" s="65" t="n">
        <f aca="false">Overheads!P9+Overheads!P10+Overheads!P11</f>
        <v>58516.5463862267</v>
      </c>
      <c r="Q9" s="65" t="n">
        <f aca="false">Overheads!Q9+Overheads!Q10+Overheads!Q11</f>
        <v>62035.319402752</v>
      </c>
      <c r="R9" s="65" t="n">
        <f aca="false">Overheads!R9+Overheads!R10+Overheads!R11</f>
        <v>62554.8830862954</v>
      </c>
      <c r="S9" s="65" t="n">
        <f aca="false">Overheads!S9+Overheads!S10+Overheads!S11</f>
        <v>63536.6195569118</v>
      </c>
      <c r="T9" s="65" t="n">
        <f aca="false">Overheads!T9+Overheads!T10+Overheads!T11</f>
        <v>64280.5932337319</v>
      </c>
      <c r="U9" s="65" t="n">
        <f aca="false">Overheads!U9+Overheads!U10+Overheads!U11</f>
        <v>65110.4888032051</v>
      </c>
      <c r="V9" s="65" t="n">
        <f aca="false">Overheads!V9+Overheads!V10+Overheads!V11</f>
        <v>65619.3642848004</v>
      </c>
      <c r="W9" s="65" t="n">
        <f aca="false">Overheads!W9+Overheads!W10+Overheads!W11</f>
        <v>66076.2788560032</v>
      </c>
      <c r="X9" s="65" t="n">
        <f aca="false">Overheads!X9+Overheads!X10+Overheads!X11</f>
        <v>66452.7219106105</v>
      </c>
      <c r="Y9" s="65" t="n">
        <f aca="false">Overheads!Y9+Overheads!Y10+Overheads!Y11</f>
        <v>67507.1538076249</v>
      </c>
      <c r="Z9" s="65" t="n">
        <f aca="false">Overheads!Z9+Overheads!Z10+Overheads!Z11</f>
        <v>68104.1231786645</v>
      </c>
      <c r="AA9" s="65" t="n">
        <f aca="false">Overheads!AA9+Overheads!AA10+Overheads!AA11</f>
        <v>68655.9973834944</v>
      </c>
      <c r="AB9" s="65" t="n">
        <f aca="false">Overheads!AB9+Overheads!AB10+Overheads!AB11</f>
        <v>69128.1481125546</v>
      </c>
    </row>
    <row r="10" customFormat="false" ht="15" hidden="false" customHeight="false" outlineLevel="0" collapsed="false">
      <c r="A10" s="28" t="s">
        <v>1389</v>
      </c>
      <c r="B10" s="63" t="s">
        <v>1390</v>
      </c>
      <c r="C10" s="64" t="n">
        <f aca="false">SUM(E10:P10)</f>
        <v>658373.089058087</v>
      </c>
      <c r="D10" s="64" t="n">
        <f aca="false">SUM(Q10:AB10)</f>
        <v>778450.089890321</v>
      </c>
      <c r="E10" s="65" t="n">
        <f aca="false">IF(E$5="A",Inputs_Actuals!E307,Inputs_Actuals!$C$328)</f>
        <v>50860.06</v>
      </c>
      <c r="F10" s="65" t="n">
        <f aca="false">IF(F$5="A",Inputs_Actuals!F307,E11)</f>
        <v>52433.05</v>
      </c>
      <c r="G10" s="65" t="n">
        <f aca="false">IF(G$5="A",Inputs_Actuals!G307,F11)</f>
        <v>53515.25</v>
      </c>
      <c r="H10" s="65" t="n">
        <f aca="false">IF(H$5="A",Inputs_Actuals!H307,G11)</f>
        <v>52397.87</v>
      </c>
      <c r="I10" s="65" t="n">
        <f aca="false">IF(I$5="A",Inputs_Actuals!I307,H11)</f>
        <v>54290.39</v>
      </c>
      <c r="J10" s="65" t="n">
        <f aca="false">IF(J$5="A",Inputs_Actuals!J307,I11)</f>
        <v>54703.69</v>
      </c>
      <c r="K10" s="65" t="n">
        <f aca="false">IF(K$5="A",Inputs_Actuals!K307,J11)</f>
        <v>55827.87</v>
      </c>
      <c r="L10" s="65" t="n">
        <f aca="false">IF(L$5="A",Inputs_Actuals!L307,K11)</f>
        <v>55234.4</v>
      </c>
      <c r="M10" s="65" t="n">
        <f aca="false">IF(M$5="A",Inputs_Actuals!M307,L11)</f>
        <v>57077.91</v>
      </c>
      <c r="N10" s="65" t="n">
        <f aca="false">IF(N$5="A",Inputs_Actuals!N307,M11)</f>
        <v>56804.4589610682</v>
      </c>
      <c r="O10" s="65" t="n">
        <f aca="false">IF(O$5="A",Inputs_Actuals!O307,N11)</f>
        <v>57213.1047137646</v>
      </c>
      <c r="P10" s="65" t="n">
        <f aca="false">IF(P$5="A",Inputs_Actuals!P307,O11)</f>
        <v>58015.0353832541</v>
      </c>
      <c r="Q10" s="65" t="n">
        <f aca="false">IF(Q$5="A",Inputs_Actuals!Q307,P11)</f>
        <v>58516.5463862267</v>
      </c>
      <c r="R10" s="65" t="n">
        <f aca="false">IF(R$5="A",Inputs_Actuals!R307,Q11)</f>
        <v>62035.319402752</v>
      </c>
      <c r="S10" s="65" t="n">
        <f aca="false">IF(S$5="A",Inputs_Actuals!S307,R11)</f>
        <v>62554.8830862954</v>
      </c>
      <c r="T10" s="65" t="n">
        <f aca="false">IF(T$5="A",Inputs_Actuals!T307,S11)</f>
        <v>63536.6195569118</v>
      </c>
      <c r="U10" s="65" t="n">
        <f aca="false">IF(U$5="A",Inputs_Actuals!U307,T11)</f>
        <v>64280.5932337319</v>
      </c>
      <c r="V10" s="65" t="n">
        <f aca="false">IF(V$5="A",Inputs_Actuals!V307,U11)</f>
        <v>65110.4888032051</v>
      </c>
      <c r="W10" s="65" t="n">
        <f aca="false">IF(W$5="A",Inputs_Actuals!W307,V11)</f>
        <v>65619.3642848004</v>
      </c>
      <c r="X10" s="65" t="n">
        <f aca="false">IF(X$5="A",Inputs_Actuals!X307,W11)</f>
        <v>66076.2788560032</v>
      </c>
      <c r="Y10" s="65" t="n">
        <f aca="false">IF(Y$5="A",Inputs_Actuals!Y307,X11)</f>
        <v>66452.7219106105</v>
      </c>
      <c r="Z10" s="65" t="n">
        <f aca="false">IF(Z$5="A",Inputs_Actuals!Z307,Y11)</f>
        <v>67507.1538076249</v>
      </c>
      <c r="AA10" s="65" t="n">
        <f aca="false">IF(AA$5="A",Inputs_Actuals!AA307,Z11)</f>
        <v>68104.1231786645</v>
      </c>
      <c r="AB10" s="65" t="n">
        <f aca="false">IF(AB$5="A",Inputs_Actuals!AB307,AA11)</f>
        <v>68655.9973834944</v>
      </c>
    </row>
    <row r="11" customFormat="false" ht="15" hidden="false" customHeight="false" outlineLevel="0" collapsed="false">
      <c r="A11" s="59" t="s">
        <v>1391</v>
      </c>
      <c r="B11" s="60"/>
      <c r="C11" s="61" t="n">
        <f aca="false">P11</f>
        <v>58516.5463862267</v>
      </c>
      <c r="D11" s="61" t="n">
        <f aca="false">AB11</f>
        <v>69128.1481125546</v>
      </c>
      <c r="E11" s="62" t="n">
        <f aca="false">Inputs_Actuals!$C$328+E9-E10</f>
        <v>52433.05</v>
      </c>
      <c r="F11" s="61" t="n">
        <f aca="false">E11+F9-F10</f>
        <v>53515.25</v>
      </c>
      <c r="G11" s="61" t="n">
        <f aca="false">F11+G9-G10</f>
        <v>52397.87</v>
      </c>
      <c r="H11" s="61" t="n">
        <f aca="false">G11+H9-H10</f>
        <v>54290.39</v>
      </c>
      <c r="I11" s="61" t="n">
        <f aca="false">H11+I9-I10</f>
        <v>54703.69</v>
      </c>
      <c r="J11" s="61" t="n">
        <f aca="false">I11+J9-J10</f>
        <v>55827.87</v>
      </c>
      <c r="K11" s="61" t="n">
        <f aca="false">J11+K9-K10</f>
        <v>55234.4</v>
      </c>
      <c r="L11" s="61" t="n">
        <f aca="false">K11+L9-L10</f>
        <v>57077.91</v>
      </c>
      <c r="M11" s="61" t="n">
        <f aca="false">L11+M9-M10</f>
        <v>56804.4589610682</v>
      </c>
      <c r="N11" s="61" t="n">
        <f aca="false">M11+N9-N10</f>
        <v>57213.1047137646</v>
      </c>
      <c r="O11" s="61" t="n">
        <f aca="false">N11+O9-O10</f>
        <v>58015.0353832541</v>
      </c>
      <c r="P11" s="61" t="n">
        <f aca="false">O11+P9-P10</f>
        <v>58516.5463862267</v>
      </c>
      <c r="Q11" s="61" t="n">
        <f aca="false">P11+Q9-Q10</f>
        <v>62035.319402752</v>
      </c>
      <c r="R11" s="61" t="n">
        <f aca="false">Q11+R9-R10</f>
        <v>62554.8830862954</v>
      </c>
      <c r="S11" s="61" t="n">
        <f aca="false">R11+S9-S10</f>
        <v>63536.6195569118</v>
      </c>
      <c r="T11" s="61" t="n">
        <f aca="false">S11+T9-T10</f>
        <v>64280.5932337319</v>
      </c>
      <c r="U11" s="61" t="n">
        <f aca="false">T11+U9-U10</f>
        <v>65110.4888032051</v>
      </c>
      <c r="V11" s="61" t="n">
        <f aca="false">U11+V9-V10</f>
        <v>65619.3642848004</v>
      </c>
      <c r="W11" s="61" t="n">
        <f aca="false">V11+W9-W10</f>
        <v>66076.2788560032</v>
      </c>
      <c r="X11" s="61" t="n">
        <f aca="false">W11+X9-X10</f>
        <v>66452.7219106105</v>
      </c>
      <c r="Y11" s="61" t="n">
        <f aca="false">X11+Y9-Y10</f>
        <v>67507.1538076249</v>
      </c>
      <c r="Z11" s="61" t="n">
        <f aca="false">Y11+Z9-Z10</f>
        <v>68104.1231786645</v>
      </c>
      <c r="AA11" s="61" t="n">
        <f aca="false">Z11+AA9-AA10</f>
        <v>68655.9973834944</v>
      </c>
      <c r="AB11" s="61" t="n">
        <f aca="false">AA11+AB9-AB10</f>
        <v>69128.1481125546</v>
      </c>
    </row>
    <row r="12" customFormat="false" ht="15" hidden="false" customHeight="false" outlineLevel="0" collapsed="false">
      <c r="A12" s="22" t="s">
        <v>1392</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customFormat="false" ht="15" hidden="false" customHeight="false" outlineLevel="0" collapsed="false">
      <c r="A13" s="28" t="s">
        <v>1387</v>
      </c>
      <c r="B13" s="63"/>
      <c r="C13" s="64" t="n">
        <f aca="false">SUM(E13:P13)</f>
        <v>809819.06</v>
      </c>
      <c r="D13" s="64" t="n">
        <f aca="false">SUM(Q13:AB13)</f>
        <v>832755</v>
      </c>
      <c r="E13" s="65" t="n">
        <f aca="false">Overheads!E12</f>
        <v>72950.18</v>
      </c>
      <c r="F13" s="65" t="n">
        <f aca="false">Overheads!F12</f>
        <v>76997.11</v>
      </c>
      <c r="G13" s="65" t="n">
        <f aca="false">Overheads!G12</f>
        <v>70333.46</v>
      </c>
      <c r="H13" s="65" t="n">
        <f aca="false">Overheads!H12</f>
        <v>69662.37</v>
      </c>
      <c r="I13" s="65" t="n">
        <f aca="false">Overheads!I12</f>
        <v>63812.87</v>
      </c>
      <c r="J13" s="65" t="n">
        <f aca="false">Overheads!J12</f>
        <v>70430.36</v>
      </c>
      <c r="K13" s="65" t="n">
        <f aca="false">Overheads!K12</f>
        <v>68209.14</v>
      </c>
      <c r="L13" s="65" t="n">
        <f aca="false">Overheads!L12</f>
        <v>53423.57</v>
      </c>
      <c r="M13" s="65" t="n">
        <f aca="false">Overheads!M12</f>
        <v>66000</v>
      </c>
      <c r="N13" s="65" t="n">
        <f aca="false">Overheads!N12</f>
        <v>66000</v>
      </c>
      <c r="O13" s="65" t="n">
        <f aca="false">Overheads!O12</f>
        <v>66000</v>
      </c>
      <c r="P13" s="65" t="n">
        <f aca="false">Overheads!P12</f>
        <v>66000</v>
      </c>
      <c r="Q13" s="65" t="n">
        <f aca="false">Overheads!Q12</f>
        <v>78177</v>
      </c>
      <c r="R13" s="65" t="n">
        <f aca="false">Overheads!R12</f>
        <v>78177</v>
      </c>
      <c r="S13" s="65" t="n">
        <f aca="false">Overheads!S12</f>
        <v>78177</v>
      </c>
      <c r="T13" s="65" t="n">
        <f aca="false">Overheads!T12</f>
        <v>67980</v>
      </c>
      <c r="U13" s="65" t="n">
        <f aca="false">Overheads!U12</f>
        <v>67980</v>
      </c>
      <c r="V13" s="65" t="n">
        <f aca="false">Overheads!V12</f>
        <v>67980</v>
      </c>
      <c r="W13" s="65" t="n">
        <f aca="false">Overheads!W12</f>
        <v>67980</v>
      </c>
      <c r="X13" s="65" t="n">
        <f aca="false">Overheads!X12</f>
        <v>54384</v>
      </c>
      <c r="Y13" s="65" t="n">
        <f aca="false">Overheads!Y12</f>
        <v>67980</v>
      </c>
      <c r="Z13" s="65" t="n">
        <f aca="false">Overheads!Z12</f>
        <v>67980</v>
      </c>
      <c r="AA13" s="65" t="n">
        <f aca="false">Overheads!AA12</f>
        <v>67980</v>
      </c>
      <c r="AB13" s="65" t="n">
        <f aca="false">Overheads!AB12</f>
        <v>67980</v>
      </c>
    </row>
    <row r="14" customFormat="false" ht="15" hidden="false" customHeight="false" outlineLevel="0" collapsed="false">
      <c r="A14" s="28" t="s">
        <v>1389</v>
      </c>
      <c r="B14" s="63" t="s">
        <v>1393</v>
      </c>
      <c r="C14" s="64" t="n">
        <f aca="false">SUM(E14:P14)</f>
        <v>810376.14</v>
      </c>
      <c r="D14" s="64" t="n">
        <f aca="false">SUM(Q14:AB14)</f>
        <v>831765</v>
      </c>
      <c r="E14" s="65" t="n">
        <f aca="false">IF(E$5="A",Inputs_Actuals!E308,Inputs_Actuals!$C$329+0.5*E13)</f>
        <v>70032.17</v>
      </c>
      <c r="F14" s="65" t="n">
        <f aca="false">IF(F$5="A",Inputs_Actuals!F308,E15+0.5*F13)</f>
        <v>74973.64</v>
      </c>
      <c r="G14" s="65" t="n">
        <f aca="false">IF(G$5="A",Inputs_Actuals!G308,F15+0.5*G13)</f>
        <v>73665.29</v>
      </c>
      <c r="H14" s="65" t="n">
        <f aca="false">IF(H$5="A",Inputs_Actuals!H308,G15+0.5*H13)</f>
        <v>69997.92</v>
      </c>
      <c r="I14" s="65" t="n">
        <f aca="false">IF(I$5="A",Inputs_Actuals!I308,H15+0.5*I13)</f>
        <v>66737.62</v>
      </c>
      <c r="J14" s="65" t="n">
        <f aca="false">IF(J$5="A",Inputs_Actuals!J308,I15+0.5*J13)</f>
        <v>67121.62</v>
      </c>
      <c r="K14" s="65" t="n">
        <f aca="false">IF(K$5="A",Inputs_Actuals!K308,J15+0.5*K13)</f>
        <v>69319.75</v>
      </c>
      <c r="L14" s="65" t="n">
        <f aca="false">IF(L$5="A",Inputs_Actuals!L308,K15+0.5*L13)</f>
        <v>60816.35</v>
      </c>
      <c r="M14" s="65" t="n">
        <f aca="false">IF(M$5="A",Inputs_Actuals!M308,L15+0.5*M13)</f>
        <v>59711.78</v>
      </c>
      <c r="N14" s="65" t="n">
        <f aca="false">IF(N$5="A",Inputs_Actuals!N308,M15+0.5*N13)</f>
        <v>66000</v>
      </c>
      <c r="O14" s="65" t="n">
        <f aca="false">IF(O$5="A",Inputs_Actuals!O308,N15+0.5*O13)</f>
        <v>66000</v>
      </c>
      <c r="P14" s="65" t="n">
        <f aca="false">IF(P$5="A",Inputs_Actuals!P308,O15+0.5*P13)</f>
        <v>66000</v>
      </c>
      <c r="Q14" s="65" t="n">
        <f aca="false">IF(Q$5="A",Inputs_Actuals!Q308,P15+0.5*Q13)</f>
        <v>72088.5</v>
      </c>
      <c r="R14" s="65" t="n">
        <f aca="false">IF(R$5="A",Inputs_Actuals!R308,Q15+0.5*R13)</f>
        <v>78177</v>
      </c>
      <c r="S14" s="65" t="n">
        <f aca="false">IF(S$5="A",Inputs_Actuals!S308,R15+0.5*S13)</f>
        <v>78177</v>
      </c>
      <c r="T14" s="65" t="n">
        <f aca="false">IF(T$5="A",Inputs_Actuals!T308,S15+0.5*T13)</f>
        <v>73078.5</v>
      </c>
      <c r="U14" s="65" t="n">
        <f aca="false">IF(U$5="A",Inputs_Actuals!U308,T15+0.5*U13)</f>
        <v>67980</v>
      </c>
      <c r="V14" s="65" t="n">
        <f aca="false">IF(V$5="A",Inputs_Actuals!V308,U15+0.5*V13)</f>
        <v>67980</v>
      </c>
      <c r="W14" s="65" t="n">
        <f aca="false">IF(W$5="A",Inputs_Actuals!W308,V15+0.5*W13)</f>
        <v>67980</v>
      </c>
      <c r="X14" s="65" t="n">
        <f aca="false">IF(X$5="A",Inputs_Actuals!X308,W15+0.5*X13)</f>
        <v>61182</v>
      </c>
      <c r="Y14" s="65" t="n">
        <f aca="false">IF(Y$5="A",Inputs_Actuals!Y308,X15+0.5*Y13)</f>
        <v>61182</v>
      </c>
      <c r="Z14" s="65" t="n">
        <f aca="false">IF(Z$5="A",Inputs_Actuals!Z308,Y15+0.5*Z13)</f>
        <v>67980</v>
      </c>
      <c r="AA14" s="65" t="n">
        <f aca="false">IF(AA$5="A",Inputs_Actuals!AA308,Z15+0.5*AA13)</f>
        <v>67980</v>
      </c>
      <c r="AB14" s="65" t="n">
        <f aca="false">IF(AB$5="A",Inputs_Actuals!AB308,AA15+0.5*AB13)</f>
        <v>67980</v>
      </c>
    </row>
    <row r="15" customFormat="false" ht="15" hidden="false" customHeight="false" outlineLevel="0" collapsed="false">
      <c r="A15" s="59" t="s">
        <v>1391</v>
      </c>
      <c r="B15" s="60"/>
      <c r="C15" s="61" t="n">
        <f aca="false">P15</f>
        <v>33000</v>
      </c>
      <c r="D15" s="61" t="n">
        <f aca="false">AB15</f>
        <v>33990</v>
      </c>
      <c r="E15" s="62" t="n">
        <f aca="false">Inputs_Actuals!$C$329+E13-E14</f>
        <v>36475.09</v>
      </c>
      <c r="F15" s="61" t="n">
        <f aca="false">E15+F13-F14</f>
        <v>38498.56</v>
      </c>
      <c r="G15" s="61" t="n">
        <f aca="false">F15+G13-G14</f>
        <v>35166.73</v>
      </c>
      <c r="H15" s="61" t="n">
        <f aca="false">G15+H13-H14</f>
        <v>34831.18</v>
      </c>
      <c r="I15" s="61" t="n">
        <f aca="false">H15+I13-I14</f>
        <v>31906.43</v>
      </c>
      <c r="J15" s="61" t="n">
        <f aca="false">I15+J13-J14</f>
        <v>35215.17</v>
      </c>
      <c r="K15" s="61" t="n">
        <f aca="false">J15+K13-K14</f>
        <v>34104.56</v>
      </c>
      <c r="L15" s="61" t="n">
        <f aca="false">K15+L13-L14</f>
        <v>26711.78</v>
      </c>
      <c r="M15" s="61" t="n">
        <f aca="false">L15+M13-M14</f>
        <v>33000</v>
      </c>
      <c r="N15" s="61" t="n">
        <f aca="false">M15+N13-N14</f>
        <v>33000</v>
      </c>
      <c r="O15" s="61" t="n">
        <f aca="false">N15+O13-O14</f>
        <v>33000</v>
      </c>
      <c r="P15" s="61" t="n">
        <f aca="false">O15+P13-P14</f>
        <v>33000</v>
      </c>
      <c r="Q15" s="61" t="n">
        <f aca="false">P15+Q13-Q14</f>
        <v>39088.5</v>
      </c>
      <c r="R15" s="61" t="n">
        <f aca="false">Q15+R13-R14</f>
        <v>39088.5</v>
      </c>
      <c r="S15" s="61" t="n">
        <f aca="false">R15+S13-S14</f>
        <v>39088.5</v>
      </c>
      <c r="T15" s="61" t="n">
        <f aca="false">S15+T13-T14</f>
        <v>33990</v>
      </c>
      <c r="U15" s="61" t="n">
        <f aca="false">T15+U13-U14</f>
        <v>33990</v>
      </c>
      <c r="V15" s="61" t="n">
        <f aca="false">U15+V13-V14</f>
        <v>33990</v>
      </c>
      <c r="W15" s="61" t="n">
        <f aca="false">V15+W13-W14</f>
        <v>33990</v>
      </c>
      <c r="X15" s="61" t="n">
        <f aca="false">W15+X13-X14</f>
        <v>27192</v>
      </c>
      <c r="Y15" s="61" t="n">
        <f aca="false">X15+Y13-Y14</f>
        <v>33990</v>
      </c>
      <c r="Z15" s="61" t="n">
        <f aca="false">Y15+Z13-Z14</f>
        <v>33990</v>
      </c>
      <c r="AA15" s="61" t="n">
        <f aca="false">Z15+AA13-AA14</f>
        <v>33990</v>
      </c>
      <c r="AB15" s="61" t="n">
        <f aca="false">AA15+AB13-AB14</f>
        <v>33990</v>
      </c>
    </row>
    <row r="16" customFormat="false" ht="15" hidden="false" customHeight="false" outlineLevel="0" collapsed="false">
      <c r="A16" s="22" t="s">
        <v>1394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false" outlineLevel="0" collapsed="false">
      <c r="A17" s="28" t="s">
        <v>1395</v>
      </c>
      <c r="B17" s="63"/>
      <c r="C17" s="64" t="n">
        <f aca="false">SUM(E17:P17)</f>
        <v>915299.485338889</v>
      </c>
      <c r="D17" s="64" t="n">
        <f aca="false">SUM(Q17:AB17)</f>
        <v>1035369.25140706</v>
      </c>
      <c r="E17" s="65" t="n">
        <f aca="false">Overheads!E13*(1+Assumptions!$C$18*1)+Overheads!E15*(1+Assumptions!$C$18*1)+Overheads!E16*(1+Assumptions!$C$18*0)+Overheads!E17*(1+Assumptions!$C$18*1)+Overheads!E18*(1+Assumptions!$C$18*0.5)+Fixed_Assets!E8*(1+Assumptions!$C$18)</f>
        <v>68600.14315</v>
      </c>
      <c r="F17" s="65" t="n">
        <f aca="false">Overheads!F13*(1+Assumptions!$C$18*1)+Overheads!F15*(1+Assumptions!$C$18*1)+Overheads!F16*(1+Assumptions!$C$18*0)+Overheads!F17*(1+Assumptions!$C$18*1)+Overheads!F18*(1+Assumptions!$C$18*0.5)+Fixed_Assets!F8*(1+Assumptions!$C$18)</f>
        <v>77934.9599</v>
      </c>
      <c r="G17" s="65" t="n">
        <f aca="false">Overheads!G13*(1+Assumptions!$C$18*1)+Overheads!G15*(1+Assumptions!$C$18*1)+Overheads!G16*(1+Assumptions!$C$18*0)+Overheads!G17*(1+Assumptions!$C$18*1)+Overheads!G18*(1+Assumptions!$C$18*0.5)+Fixed_Assets!G8*(1+Assumptions!$C$18)</f>
        <v>100548.23365</v>
      </c>
      <c r="H17" s="65" t="n">
        <f aca="false">Overheads!H13*(1+Assumptions!$C$18*1)+Overheads!H15*(1+Assumptions!$C$18*1)+Overheads!H16*(1+Assumptions!$C$18*0)+Overheads!H17*(1+Assumptions!$C$18*1)+Overheads!H18*(1+Assumptions!$C$18*0.5)+Fixed_Assets!H8*(1+Assumptions!$C$18)</f>
        <v>75415.3415</v>
      </c>
      <c r="I17" s="65" t="n">
        <f aca="false">Overheads!I13*(1+Assumptions!$C$18*1)+Overheads!I15*(1+Assumptions!$C$18*1)+Overheads!I16*(1+Assumptions!$C$18*0)+Overheads!I17*(1+Assumptions!$C$18*1)+Overheads!I18*(1+Assumptions!$C$18*0.5)+Fixed_Assets!I8*(1+Assumptions!$C$18)</f>
        <v>101250.85995</v>
      </c>
      <c r="J17" s="65" t="n">
        <f aca="false">Overheads!J13*(1+Assumptions!$C$18*1)+Overheads!J15*(1+Assumptions!$C$18*1)+Overheads!J16*(1+Assumptions!$C$18*0)+Overheads!J17*(1+Assumptions!$C$18*1)+Overheads!J18*(1+Assumptions!$C$18*0.5)+Fixed_Assets!J8*(1+Assumptions!$C$18)</f>
        <v>71905.3559</v>
      </c>
      <c r="K17" s="65" t="n">
        <f aca="false">Overheads!K13*(1+Assumptions!$C$18*1)+Overheads!K15*(1+Assumptions!$C$18*1)+Overheads!K16*(1+Assumptions!$C$18*0)+Overheads!K17*(1+Assumptions!$C$18*1)+Overheads!K18*(1+Assumptions!$C$18*0.5)+Fixed_Assets!K8*(1+Assumptions!$C$18)</f>
        <v>69951.8515</v>
      </c>
      <c r="L17" s="65" t="n">
        <f aca="false">Overheads!L13*(1+Assumptions!$C$18*1)+Overheads!L15*(1+Assumptions!$C$18*1)+Overheads!L16*(1+Assumptions!$C$18*0)+Overheads!L17*(1+Assumptions!$C$18*1)+Overheads!L18*(1+Assumptions!$C$18*0.5)+Fixed_Assets!L8*(1+Assumptions!$C$18)</f>
        <v>61346.4165</v>
      </c>
      <c r="M17" s="65" t="n">
        <f aca="false">Overheads!M13*(1+Assumptions!$C$18*1)+Overheads!M15*(1+Assumptions!$C$18*1)+Overheads!M16*(1+Assumptions!$C$18*0)+Overheads!M17*(1+Assumptions!$C$18*1)+Overheads!M18*(1+Assumptions!$C$18*0.5)+Fixed_Assets!M8*(1+Assumptions!$C$18)</f>
        <v>69615.5</v>
      </c>
      <c r="N17" s="65" t="n">
        <f aca="false">Overheads!N13*(1+Assumptions!$C$18*1)+Overheads!N15*(1+Assumptions!$C$18*1)+Overheads!N16*(1+Assumptions!$C$18*0)+Overheads!N17*(1+Assumptions!$C$18*1)+Overheads!N18*(1+Assumptions!$C$18*0.5)+Fixed_Assets!N8*(1+Assumptions!$C$18)</f>
        <v>69615.5</v>
      </c>
      <c r="O17" s="65" t="n">
        <f aca="false">Overheads!O13*(1+Assumptions!$C$18*1)+Overheads!O15*(1+Assumptions!$C$18*1)+Overheads!O16*(1+Assumptions!$C$18*0)+Overheads!O17*(1+Assumptions!$C$18*1)+Overheads!O18*(1+Assumptions!$C$18*0.5)+Fixed_Assets!O8*(1+Assumptions!$C$18)</f>
        <v>78456.5666666667</v>
      </c>
      <c r="P17" s="65" t="n">
        <f aca="false">Overheads!P13*(1+Assumptions!$C$18*1)+Overheads!P15*(1+Assumptions!$C$18*1)+Overheads!P16*(1+Assumptions!$C$18*0)+Overheads!P17*(1+Assumptions!$C$18*1)+Overheads!P18*(1+Assumptions!$C$18*0.5)+Fixed_Assets!P8*(1+Assumptions!$C$18)</f>
        <v>70658.7566222222</v>
      </c>
      <c r="Q17" s="65" t="n">
        <f aca="false">Overheads!Q13*(1+Assumptions!$C$18*1)+Overheads!Q15*(1+Assumptions!$C$18*1)+Overheads!Q16*(1+Assumptions!$C$18*0)+Overheads!Q17*(1+Assumptions!$C$18*1)+Overheads!Q18*(1+Assumptions!$C$18*0.5)+Fixed_Assets!Q8*(1+Assumptions!$C$18)</f>
        <v>126566.450325185</v>
      </c>
      <c r="R17" s="65" t="n">
        <f aca="false">Overheads!R13*(1+Assumptions!$C$18*1)+Overheads!R15*(1+Assumptions!$C$18*1)+Overheads!R16*(1+Assumptions!$C$18*0)+Overheads!R17*(1+Assumptions!$C$18*1)+Overheads!R18*(1+Assumptions!$C$18*0.5)+Fixed_Assets!R8*(1+Assumptions!$C$18)</f>
        <v>72522.1533058101</v>
      </c>
      <c r="S17" s="65" t="n">
        <f aca="false">Overheads!S13*(1+Assumptions!$C$18*1)+Overheads!S15*(1+Assumptions!$C$18*1)+Overheads!S16*(1+Assumptions!$C$18*0)+Overheads!S17*(1+Assumptions!$C$18*1)+Overheads!S18*(1+Assumptions!$C$18*0.5)+Fixed_Assets!S8*(1+Assumptions!$C$18)</f>
        <v>108073.116674688</v>
      </c>
      <c r="T17" s="65" t="n">
        <f aca="false">Overheads!T13*(1+Assumptions!$C$18*1)+Overheads!T15*(1+Assumptions!$C$18*1)+Overheads!T16*(1+Assumptions!$C$18*0)+Overheads!T17*(1+Assumptions!$C$18*1)+Overheads!T18*(1+Assumptions!$C$18*0.5)+Fixed_Assets!T8*(1+Assumptions!$C$18)</f>
        <v>80976.6362565173</v>
      </c>
      <c r="U17" s="65" t="n">
        <f aca="false">Overheads!U13*(1+Assumptions!$C$18*1)+Overheads!U15*(1+Assumptions!$C$18*1)+Overheads!U16*(1+Assumptions!$C$18*0)+Overheads!U17*(1+Assumptions!$C$18*1)+Overheads!U18*(1+Assumptions!$C$18*0.5)+Fixed_Assets!U8*(1+Assumptions!$C$18)</f>
        <v>115630.040536307</v>
      </c>
      <c r="V17" s="65" t="n">
        <f aca="false">Overheads!V13*(1+Assumptions!$C$18*1)+Overheads!V15*(1+Assumptions!$C$18*1)+Overheads!V16*(1+Assumptions!$C$18*0)+Overheads!V17*(1+Assumptions!$C$18*1)+Overheads!V18*(1+Assumptions!$C$18*0.5)+Fixed_Assets!V8*(1+Assumptions!$C$18)</f>
        <v>73469.5515352043</v>
      </c>
      <c r="W17" s="65" t="n">
        <f aca="false">Overheads!W13*(1+Assumptions!$C$18*1)+Overheads!W15*(1+Assumptions!$C$18*1)+Overheads!W16*(1+Assumptions!$C$18*0)+Overheads!W17*(1+Assumptions!$C$18*1)+Overheads!W18*(1+Assumptions!$C$18*0.5)+Fixed_Assets!W8*(1+Assumptions!$C$18)</f>
        <v>73542.779012062</v>
      </c>
      <c r="X17" s="65" t="n">
        <f aca="false">Overheads!X13*(1+Assumptions!$C$18*1)+Overheads!X15*(1+Assumptions!$C$18*1)+Overheads!X16*(1+Assumptions!$C$18*0)+Overheads!X17*(1+Assumptions!$C$18*1)+Overheads!X18*(1+Assumptions!$C$18*0.5)+Fixed_Assets!X8*(1+Assumptions!$C$18)</f>
        <v>73795.8234633087</v>
      </c>
      <c r="Y17" s="65" t="n">
        <f aca="false">Overheads!Y13*(1+Assumptions!$C$18*1)+Overheads!Y15*(1+Assumptions!$C$18*1)+Overheads!Y16*(1+Assumptions!$C$18*0)+Overheads!Y17*(1+Assumptions!$C$18*1)+Overheads!Y18*(1+Assumptions!$C$18*0.5)+Fixed_Assets!Y8*(1+Assumptions!$C$18)</f>
        <v>89278.6445837738</v>
      </c>
      <c r="Z17" s="65" t="n">
        <f aca="false">Overheads!Z13*(1+Assumptions!$C$18*1)+Overheads!Z15*(1+Assumptions!$C$18*1)+Overheads!Z16*(1+Assumptions!$C$18*0)+Overheads!Z17*(1+Assumptions!$C$18*1)+Overheads!Z18*(1+Assumptions!$C$18*0.5)+Fixed_Assets!Z8*(1+Assumptions!$C$18)</f>
        <v>73786.251306159</v>
      </c>
      <c r="AA17" s="65" t="n">
        <f aca="false">Overheads!AA13*(1+Assumptions!$C$18*1)+Overheads!AA15*(1+Assumptions!$C$18*1)+Overheads!AA16*(1+Assumptions!$C$18*0)+Overheads!AA17*(1+Assumptions!$C$18*1)+Overheads!AA18*(1+Assumptions!$C$18*0.5)+Fixed_Assets!AA8*(1+Assumptions!$C$18)</f>
        <v>73786.4229010825</v>
      </c>
      <c r="AB17" s="65" t="n">
        <f aca="false">Overheads!AB13*(1+Assumptions!$C$18*1)+Overheads!AB15*(1+Assumptions!$C$18*1)+Overheads!AB16*(1+Assumptions!$C$18*0)+Overheads!AB17*(1+Assumptions!$C$18*1)+Overheads!AB18*(1+Assumptions!$C$18*0.5)+Fixed_Assets!AB8*(1+Assumptions!$C$18)</f>
        <v>73941.3815069604</v>
      </c>
    </row>
    <row r="18" customFormat="false" ht="15" hidden="false" customHeight="false" outlineLevel="0" collapsed="false">
      <c r="A18" s="28" t="s">
        <v>1389</v>
      </c>
      <c r="B18" s="63" t="s">
        <v>1396</v>
      </c>
      <c r="C18" s="64" t="n">
        <f aca="false">SUM(E18:P18)</f>
        <v>910580.858716667</v>
      </c>
      <c r="D18" s="64" t="n">
        <f aca="false">SUM(Q18:AB18)</f>
        <v>1032086.62652232</v>
      </c>
      <c r="E18" s="65" t="n">
        <f aca="false">IF(E$5="A",Inputs_Actuals!E309,Inputs_Actuals!$C$330)</f>
        <v>61740.13</v>
      </c>
      <c r="F18" s="65" t="n">
        <f aca="false">IF(F$5="A",Inputs_Actuals!F309,E19)</f>
        <v>70742.14</v>
      </c>
      <c r="G18" s="65" t="n">
        <f aca="false">IF(G$5="A",Inputs_Actuals!G309,F19)</f>
        <v>77654.92</v>
      </c>
      <c r="H18" s="65" t="n">
        <f aca="false">IF(H$5="A",Inputs_Actuals!H309,G19)</f>
        <v>99869.83</v>
      </c>
      <c r="I18" s="65" t="n">
        <f aca="false">IF(I$5="A",Inputs_Actuals!I309,H19)</f>
        <v>76169.33</v>
      </c>
      <c r="J18" s="65" t="n">
        <f aca="false">IF(J$5="A",Inputs_Actuals!J309,I19)</f>
        <v>100475.79</v>
      </c>
      <c r="K18" s="65" t="n">
        <f aca="false">IF(K$5="A",Inputs_Actuals!K309,J19)</f>
        <v>72785.73</v>
      </c>
      <c r="L18" s="65" t="n">
        <f aca="false">IF(L$5="A",Inputs_Actuals!L309,K19)</f>
        <v>70010.46</v>
      </c>
      <c r="M18" s="65" t="n">
        <f aca="false">IF(M$5="A",Inputs_Actuals!M309,L19)</f>
        <v>63444.96205</v>
      </c>
      <c r="N18" s="65" t="n">
        <f aca="false">IF(N$5="A",Inputs_Actuals!N309,M19)</f>
        <v>69615.5</v>
      </c>
      <c r="O18" s="65" t="n">
        <f aca="false">IF(O$5="A",Inputs_Actuals!O309,N19)</f>
        <v>69615.5</v>
      </c>
      <c r="P18" s="65" t="n">
        <f aca="false">IF(P$5="A",Inputs_Actuals!P309,O19)</f>
        <v>78456.5666666667</v>
      </c>
      <c r="Q18" s="65" t="n">
        <f aca="false">IF(Q$5="A",Inputs_Actuals!Q309,P19)</f>
        <v>70658.7566222222</v>
      </c>
      <c r="R18" s="65" t="n">
        <f aca="false">IF(R$5="A",Inputs_Actuals!R309,Q19)</f>
        <v>126566.450325185</v>
      </c>
      <c r="S18" s="65" t="n">
        <f aca="false">IF(S$5="A",Inputs_Actuals!S309,R19)</f>
        <v>72522.1533058101</v>
      </c>
      <c r="T18" s="65" t="n">
        <f aca="false">IF(T$5="A",Inputs_Actuals!T309,S19)</f>
        <v>108073.116674688</v>
      </c>
      <c r="U18" s="65" t="n">
        <f aca="false">IF(U$5="A",Inputs_Actuals!U309,T19)</f>
        <v>80976.6362565173</v>
      </c>
      <c r="V18" s="65" t="n">
        <f aca="false">IF(V$5="A",Inputs_Actuals!V309,U19)</f>
        <v>115630.040536307</v>
      </c>
      <c r="W18" s="65" t="n">
        <f aca="false">IF(W$5="A",Inputs_Actuals!W309,V19)</f>
        <v>73469.5515352043</v>
      </c>
      <c r="X18" s="65" t="n">
        <f aca="false">IF(X$5="A",Inputs_Actuals!X309,W19)</f>
        <v>73542.779012062</v>
      </c>
      <c r="Y18" s="65" t="n">
        <f aca="false">IF(Y$5="A",Inputs_Actuals!Y309,X19)</f>
        <v>73795.8234633087</v>
      </c>
      <c r="Z18" s="65" t="n">
        <f aca="false">IF(Z$5="A",Inputs_Actuals!Z309,Y19)</f>
        <v>89278.6445837738</v>
      </c>
      <c r="AA18" s="65" t="n">
        <f aca="false">IF(AA$5="A",Inputs_Actuals!AA309,Z19)</f>
        <v>73786.2513061591</v>
      </c>
      <c r="AB18" s="65" t="n">
        <f aca="false">IF(AB$5="A",Inputs_Actuals!AB309,AA19)</f>
        <v>73786.4229010825</v>
      </c>
    </row>
    <row r="19" customFormat="false" ht="15" hidden="false" customHeight="false" outlineLevel="0" collapsed="false">
      <c r="A19" s="59" t="s">
        <v>1391</v>
      </c>
      <c r="B19" s="60"/>
      <c r="C19" s="61" t="n">
        <f aca="false">P19</f>
        <v>70658.7566222222</v>
      </c>
      <c r="D19" s="61" t="n">
        <f aca="false">AB19</f>
        <v>73941.3815069604</v>
      </c>
      <c r="E19" s="62" t="n">
        <f aca="false">Inputs_Actuals!$C$330+E17-E18</f>
        <v>72800.14315</v>
      </c>
      <c r="F19" s="61" t="n">
        <f aca="false">E19+F17-F18</f>
        <v>79992.96305</v>
      </c>
      <c r="G19" s="61" t="n">
        <f aca="false">F19+G17-G18</f>
        <v>102886.2767</v>
      </c>
      <c r="H19" s="61" t="n">
        <f aca="false">G19+H17-H18</f>
        <v>78431.7882</v>
      </c>
      <c r="I19" s="61" t="n">
        <f aca="false">H19+I17-I18</f>
        <v>103513.31815</v>
      </c>
      <c r="J19" s="61" t="n">
        <f aca="false">I19+J17-J18</f>
        <v>74942.88405</v>
      </c>
      <c r="K19" s="61" t="n">
        <f aca="false">J19+K17-K18</f>
        <v>72109.00555</v>
      </c>
      <c r="L19" s="61" t="n">
        <f aca="false">K19+L17-L18</f>
        <v>63444.96205</v>
      </c>
      <c r="M19" s="61" t="n">
        <f aca="false">L19+M17-M18</f>
        <v>69615.5</v>
      </c>
      <c r="N19" s="61" t="n">
        <f aca="false">M19+N17-N18</f>
        <v>69615.5</v>
      </c>
      <c r="O19" s="61" t="n">
        <f aca="false">N19+O17-O18</f>
        <v>78456.5666666667</v>
      </c>
      <c r="P19" s="61" t="n">
        <f aca="false">O19+P17-P18</f>
        <v>70658.7566222222</v>
      </c>
      <c r="Q19" s="61" t="n">
        <f aca="false">P19+Q17-Q18</f>
        <v>126566.450325185</v>
      </c>
      <c r="R19" s="61" t="n">
        <f aca="false">Q19+R17-R18</f>
        <v>72522.1533058101</v>
      </c>
      <c r="S19" s="61" t="n">
        <f aca="false">R19+S17-S18</f>
        <v>108073.116674688</v>
      </c>
      <c r="T19" s="61" t="n">
        <f aca="false">S19+T17-T18</f>
        <v>80976.6362565173</v>
      </c>
      <c r="U19" s="61" t="n">
        <f aca="false">T19+U17-U18</f>
        <v>115630.040536307</v>
      </c>
      <c r="V19" s="61" t="n">
        <f aca="false">U19+V17-V18</f>
        <v>73469.5515352043</v>
      </c>
      <c r="W19" s="61" t="n">
        <f aca="false">V19+W17-W18</f>
        <v>73542.779012062</v>
      </c>
      <c r="X19" s="61" t="n">
        <f aca="false">W19+X17-X18</f>
        <v>73795.8234633087</v>
      </c>
      <c r="Y19" s="61" t="n">
        <f aca="false">X19+Y17-Y18</f>
        <v>89278.6445837738</v>
      </c>
      <c r="Z19" s="61" t="n">
        <f aca="false">Y19+Z17-Z18</f>
        <v>73786.2513061591</v>
      </c>
      <c r="AA19" s="61" t="n">
        <f aca="false">Z19+AA17-AA18</f>
        <v>73786.4229010825</v>
      </c>
      <c r="AB19" s="61" t="n">
        <f aca="false">AA19+AB17-AB18</f>
        <v>73941.3815069604</v>
      </c>
    </row>
    <row r="20" customFormat="false" ht="15" hidden="false" customHeight="false" outlineLevel="0" collapsed="false">
      <c r="A20" s="59" t="s">
        <v>1397</v>
      </c>
      <c r="B20" s="60"/>
      <c r="C20" s="61" t="n">
        <f aca="false">P20</f>
        <v>162175.303008449</v>
      </c>
      <c r="D20" s="61" t="n">
        <f aca="false">AB20</f>
        <v>177059.529619515</v>
      </c>
      <c r="E20" s="61" t="n">
        <f aca="false">E11+E15+E19</f>
        <v>161708.28315</v>
      </c>
      <c r="F20" s="61" t="n">
        <f aca="false">F11+F15+F19</f>
        <v>172006.77305</v>
      </c>
      <c r="G20" s="61" t="n">
        <f aca="false">G11+G15+G19</f>
        <v>190450.8767</v>
      </c>
      <c r="H20" s="61" t="n">
        <f aca="false">H11+H15+H19</f>
        <v>167553.3582</v>
      </c>
      <c r="I20" s="61" t="n">
        <f aca="false">I11+I15+I19</f>
        <v>190123.43815</v>
      </c>
      <c r="J20" s="61" t="n">
        <f aca="false">J11+J15+J19</f>
        <v>165985.92405</v>
      </c>
      <c r="K20" s="61" t="n">
        <f aca="false">K11+K15+K19</f>
        <v>161447.96555</v>
      </c>
      <c r="L20" s="61" t="n">
        <f aca="false">L11+L15+L19</f>
        <v>147234.65205</v>
      </c>
      <c r="M20" s="61" t="n">
        <f aca="false">M11+M15+M19</f>
        <v>159419.958961068</v>
      </c>
      <c r="N20" s="61" t="n">
        <f aca="false">N11+N15+N19</f>
        <v>159828.604713765</v>
      </c>
      <c r="O20" s="61" t="n">
        <f aca="false">O11+O15+O19</f>
        <v>169471.602049921</v>
      </c>
      <c r="P20" s="61" t="n">
        <f aca="false">P11+P15+P19</f>
        <v>162175.303008449</v>
      </c>
      <c r="Q20" s="61" t="n">
        <f aca="false">Q11+Q15+Q19</f>
        <v>227690.269727937</v>
      </c>
      <c r="R20" s="61" t="n">
        <f aca="false">R11+R15+R19</f>
        <v>174165.536392105</v>
      </c>
      <c r="S20" s="61" t="n">
        <f aca="false">S11+S15+S19</f>
        <v>210698.2362316</v>
      </c>
      <c r="T20" s="61" t="n">
        <f aca="false">T11+T15+T19</f>
        <v>179247.229490249</v>
      </c>
      <c r="U20" s="61" t="n">
        <f aca="false">U11+U15+U19</f>
        <v>214730.529339512</v>
      </c>
      <c r="V20" s="61" t="n">
        <f aca="false">V11+V15+V19</f>
        <v>173078.915820005</v>
      </c>
      <c r="W20" s="61" t="n">
        <f aca="false">W11+W15+W19</f>
        <v>173609.057868065</v>
      </c>
      <c r="X20" s="61" t="n">
        <f aca="false">X11+X15+X19</f>
        <v>167440.545373919</v>
      </c>
      <c r="Y20" s="61" t="n">
        <f aca="false">Y11+Y15+Y19</f>
        <v>190775.798391399</v>
      </c>
      <c r="Z20" s="61" t="n">
        <f aca="false">Z11+Z15+Z19</f>
        <v>175880.374484824</v>
      </c>
      <c r="AA20" s="61" t="n">
        <f aca="false">AA11+AA15+AA19</f>
        <v>176432.420284577</v>
      </c>
      <c r="AB20" s="61" t="n">
        <f aca="false">AB11+AB15+AB19</f>
        <v>177059.529619515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1398</v>
      </c>
    </row>
    <row r="3" customFormat="false" ht="15" hidden="false" customHeight="false" outlineLevel="0" collapsed="false">
      <c r="A3" s="50" t="s">
        <v>1399</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8" t="s">
        <v>1400</v>
      </c>
      <c r="B8" s="63" t="s">
        <v>51</v>
      </c>
      <c r="C8" s="64" t="n">
        <f aca="false">SUM(E8:P8)</f>
        <v>887355.040218928</v>
      </c>
      <c r="D8" s="64" t="n">
        <f aca="false">SUM(Q8:AB8)</f>
        <v>1084503.49906553</v>
      </c>
      <c r="E8" s="65" t="n">
        <f aca="false">Billings!E37</f>
        <v>124758.586953</v>
      </c>
      <c r="F8" s="65" t="n">
        <f aca="false">Billings!F37</f>
        <v>44881.905831</v>
      </c>
      <c r="G8" s="65" t="n">
        <f aca="false">Billings!G37</f>
        <v>97766.170866</v>
      </c>
      <c r="H8" s="65" t="n">
        <f aca="false">Billings!H37</f>
        <v>90117.542697</v>
      </c>
      <c r="I8" s="65" t="n">
        <f aca="false">Billings!I37</f>
        <v>64558.623633</v>
      </c>
      <c r="J8" s="65" t="n">
        <f aca="false">Billings!J37</f>
        <v>84002.718387</v>
      </c>
      <c r="K8" s="65" t="n">
        <f aca="false">Billings!K37</f>
        <v>58315.097736</v>
      </c>
      <c r="L8" s="65" t="n">
        <f aca="false">Billings!L37</f>
        <v>47609.639994</v>
      </c>
      <c r="M8" s="65" t="n">
        <f aca="false">Billings!M37</f>
        <v>69318.4533745556</v>
      </c>
      <c r="N8" s="65" t="n">
        <f aca="false">Billings!N37</f>
        <v>72465.5915970703</v>
      </c>
      <c r="O8" s="65" t="n">
        <f aca="false">Billings!O37</f>
        <v>83179.6224234076</v>
      </c>
      <c r="P8" s="65" t="n">
        <f aca="false">Billings!P37</f>
        <v>50381.0867268945</v>
      </c>
      <c r="Q8" s="65" t="n">
        <f aca="false">Billings!Q37</f>
        <v>133335.473865532</v>
      </c>
      <c r="R8" s="65" t="n">
        <f aca="false">Billings!R37</f>
        <v>59066.8960605038</v>
      </c>
      <c r="S8" s="65" t="n">
        <f aca="false">Billings!S37</f>
        <v>112617.829309392</v>
      </c>
      <c r="T8" s="65" t="n">
        <f aca="false">Billings!T37</f>
        <v>107413.951557697</v>
      </c>
      <c r="U8" s="65" t="n">
        <f aca="false">Billings!U37</f>
        <v>77395.433038018</v>
      </c>
      <c r="V8" s="65" t="n">
        <f aca="false">Billings!V37</f>
        <v>102781.890213394</v>
      </c>
      <c r="W8" s="65" t="n">
        <f aca="false">Billings!W37</f>
        <v>76736.505823206</v>
      </c>
      <c r="X8" s="65" t="n">
        <f aca="false">Billings!X37</f>
        <v>63921.9851869082</v>
      </c>
      <c r="Y8" s="65" t="n">
        <f aca="false">Billings!Y37</f>
        <v>89557.4711810263</v>
      </c>
      <c r="Z8" s="65" t="n">
        <f aca="false">Billings!Z37</f>
        <v>92291.6329919237</v>
      </c>
      <c r="AA8" s="65" t="n">
        <f aca="false">Billings!AA37</f>
        <v>100851.939558707</v>
      </c>
      <c r="AB8" s="65" t="n">
        <f aca="false">Billings!AB37</f>
        <v>68532.4902792182</v>
      </c>
    </row>
    <row r="9" customFormat="false" ht="15" hidden="false" customHeight="false" outlineLevel="0" collapsed="false">
      <c r="A9" s="28" t="s">
        <v>1401</v>
      </c>
      <c r="B9" s="63" t="s">
        <v>76</v>
      </c>
      <c r="C9" s="64" t="n">
        <f aca="false">SUM(E9:P9)</f>
        <v>309928.213443306</v>
      </c>
      <c r="D9" s="64" t="n">
        <f aca="false">SUM(Q9:AB9)</f>
        <v>340581.505239496</v>
      </c>
      <c r="E9" s="65" t="n">
        <f aca="false">Overheads!E22</f>
        <v>26330.4783</v>
      </c>
      <c r="F9" s="65" t="n">
        <f aca="false">Overheads!F22</f>
        <v>27407.5956</v>
      </c>
      <c r="G9" s="65" t="n">
        <f aca="false">Overheads!G22</f>
        <v>25773.5793</v>
      </c>
      <c r="H9" s="65" t="n">
        <f aca="false">Overheads!H22</f>
        <v>26030.0796</v>
      </c>
      <c r="I9" s="65" t="n">
        <f aca="false">Overheads!I22</f>
        <v>24888.4776</v>
      </c>
      <c r="J9" s="65" t="n">
        <f aca="false">Overheads!J22</f>
        <v>26514.2283</v>
      </c>
      <c r="K9" s="65" t="n">
        <f aca="false">Overheads!K22</f>
        <v>25923.1434</v>
      </c>
      <c r="L9" s="65" t="n">
        <f aca="false">Overheads!L22</f>
        <v>23205.3108</v>
      </c>
      <c r="M9" s="65" t="n">
        <f aca="false">Overheads!M22</f>
        <v>25788.9363818243</v>
      </c>
      <c r="N9" s="65" t="n">
        <f aca="false">Overheads!N22</f>
        <v>25874.7519898906</v>
      </c>
      <c r="O9" s="65" t="n">
        <f aca="false">Overheads!O22</f>
        <v>26043.1574304834</v>
      </c>
      <c r="P9" s="65" t="n">
        <f aca="false">Overheads!P22</f>
        <v>26148.4747411076</v>
      </c>
      <c r="Q9" s="65" t="n">
        <f aca="false">Overheads!Q22</f>
        <v>29444.5870745779</v>
      </c>
      <c r="R9" s="65" t="n">
        <f aca="false">Overheads!R22</f>
        <v>29553.695448122</v>
      </c>
      <c r="S9" s="65" t="n">
        <f aca="false">Overheads!S22</f>
        <v>29759.8601069515</v>
      </c>
      <c r="T9" s="65" t="n">
        <f aca="false">Overheads!T22</f>
        <v>27774.7245790837</v>
      </c>
      <c r="U9" s="65" t="n">
        <f aca="false">Overheads!U22</f>
        <v>27949.0026486731</v>
      </c>
      <c r="V9" s="65" t="n">
        <f aca="false">Overheads!V22</f>
        <v>28055.8664998081</v>
      </c>
      <c r="W9" s="65" t="n">
        <f aca="false">Overheads!W22</f>
        <v>28151.8185597607</v>
      </c>
      <c r="X9" s="65" t="n">
        <f aca="false">Overheads!X22</f>
        <v>25375.7116012282</v>
      </c>
      <c r="Y9" s="65" t="n">
        <f aca="false">Overheads!Y22</f>
        <v>28452.3022996012</v>
      </c>
      <c r="Z9" s="65" t="n">
        <f aca="false">Overheads!Z22</f>
        <v>28577.6658675196</v>
      </c>
      <c r="AA9" s="65" t="n">
        <f aca="false">Overheads!AA22</f>
        <v>28693.5594505338</v>
      </c>
      <c r="AB9" s="65" t="n">
        <f aca="false">Overheads!AB22</f>
        <v>28792.7111036365</v>
      </c>
    </row>
    <row r="10" customFormat="false" ht="15" hidden="false" customHeight="false" outlineLevel="0" collapsed="false">
      <c r="A10" s="28" t="s">
        <v>1402</v>
      </c>
      <c r="B10" s="63" t="s">
        <v>76</v>
      </c>
      <c r="C10" s="64" t="n">
        <f aca="false">SUM(E10:P10)</f>
        <v>-166678.1941125</v>
      </c>
      <c r="D10" s="64" t="n">
        <f aca="false">SUM(Q10:AB10)</f>
        <v>-183141.985739885</v>
      </c>
      <c r="E10" s="65" t="n">
        <f aca="false">-Overheads!E21</f>
        <v>-12653.47545</v>
      </c>
      <c r="F10" s="65" t="n">
        <f aca="false">-Overheads!F21</f>
        <v>-13926.4062</v>
      </c>
      <c r="G10" s="65" t="n">
        <f aca="false">-Overheads!G21</f>
        <v>-17896.16955</v>
      </c>
      <c r="H10" s="65" t="n">
        <f aca="false">-Overheads!H21</f>
        <v>-13400.1987</v>
      </c>
      <c r="I10" s="65" t="n">
        <f aca="false">-Overheads!I21</f>
        <v>-18253.42365</v>
      </c>
      <c r="J10" s="65" t="n">
        <f aca="false">-Overheads!J21</f>
        <v>-13197.7419</v>
      </c>
      <c r="K10" s="65" t="n">
        <f aca="false">-Overheads!K21</f>
        <v>-12903.8238</v>
      </c>
      <c r="L10" s="65" t="n">
        <f aca="false">-Overheads!L21</f>
        <v>-11706.7713</v>
      </c>
      <c r="M10" s="65" t="n">
        <f aca="false">-Overheads!M21</f>
        <v>-12883.5</v>
      </c>
      <c r="N10" s="65" t="n">
        <f aca="false">-Overheads!N21</f>
        <v>-12883.5</v>
      </c>
      <c r="O10" s="65" t="n">
        <f aca="false">-Overheads!O21</f>
        <v>-13962.375</v>
      </c>
      <c r="P10" s="65" t="n">
        <f aca="false">-Overheads!P21</f>
        <v>-13010.8085625</v>
      </c>
      <c r="Q10" s="65" t="n">
        <f aca="false">-Overheads!Q21</f>
        <v>-19976.1527546875</v>
      </c>
      <c r="R10" s="65" t="n">
        <f aca="false">-Overheads!R21</f>
        <v>-13381.1294226486</v>
      </c>
      <c r="S10" s="65" t="n">
        <f aca="false">-Overheads!S21</f>
        <v>-18753.2584197547</v>
      </c>
      <c r="T10" s="65" t="n">
        <f aca="false">-Overheads!T21</f>
        <v>-14412.8296277646</v>
      </c>
      <c r="U10" s="65" t="n">
        <f aca="false">-Overheads!U21</f>
        <v>-20028.6068700685</v>
      </c>
      <c r="V10" s="65" t="n">
        <f aca="false">-Overheads!V21</f>
        <v>-13496.7403894329</v>
      </c>
      <c r="W10" s="65" t="n">
        <f aca="false">-Overheads!W21</f>
        <v>-13505.6763354079</v>
      </c>
      <c r="X10" s="65" t="n">
        <f aca="false">-Overheads!X21</f>
        <v>-13536.5553393371</v>
      </c>
      <c r="Y10" s="65" t="n">
        <f aca="false">-Overheads!Y21</f>
        <v>-15425.9233608815</v>
      </c>
      <c r="Z10" s="65" t="n">
        <f aca="false">-Overheads!Z21</f>
        <v>-13535.3872493957</v>
      </c>
      <c r="AA10" s="65" t="n">
        <f aca="false">-Overheads!AA21</f>
        <v>-13535.4081891171</v>
      </c>
      <c r="AB10" s="65" t="n">
        <f aca="false">-Overheads!AB21</f>
        <v>-13554.3177813892</v>
      </c>
    </row>
    <row r="11" customFormat="false" ht="15" hidden="false" customHeight="false" outlineLevel="0" collapsed="false">
      <c r="A11" s="28" t="s">
        <v>1403</v>
      </c>
      <c r="B11" s="63" t="s">
        <v>78</v>
      </c>
      <c r="C11" s="64" t="n">
        <f aca="false">SUM(E11:P11)</f>
        <v>-13423.2590041667</v>
      </c>
      <c r="D11" s="64" t="n">
        <f aca="false">SUM(Q11:AB11)</f>
        <v>-18655.7008679515</v>
      </c>
      <c r="E11" s="65" t="n">
        <f aca="false">-Fixed_Assets!E8*Assumptions!$C$18</f>
        <v>-1038.3177</v>
      </c>
      <c r="F11" s="65" t="n">
        <f aca="false">-Fixed_Assets!F8*Assumptions!$C$18</f>
        <v>-1338.3237</v>
      </c>
      <c r="G11" s="65" t="n">
        <f aca="false">-Fixed_Assets!G8*Assumptions!$C$18</f>
        <v>-1387.5141</v>
      </c>
      <c r="H11" s="65" t="n">
        <f aca="false">-Fixed_Assets!H8*Assumptions!$C$18</f>
        <v>-1401.2628</v>
      </c>
      <c r="I11" s="65" t="n">
        <f aca="false">-Fixed_Assets!I8*Assumptions!$C$18</f>
        <v>-1262.9463</v>
      </c>
      <c r="J11" s="65" t="n">
        <f aca="false">-Fixed_Assets!J8*Assumptions!$C$18</f>
        <v>-1038.114</v>
      </c>
      <c r="K11" s="65" t="n">
        <f aca="false">-Fixed_Assets!K8*Assumptions!$C$18</f>
        <v>-987.2877</v>
      </c>
      <c r="L11" s="65" t="n">
        <f aca="false">-Fixed_Assets!L8*Assumptions!$C$18</f>
        <v>-512.2152</v>
      </c>
      <c r="M11" s="65" t="n">
        <f aca="false">-Fixed_Assets!M8*Assumptions!$C$18</f>
        <v>-987</v>
      </c>
      <c r="N11" s="65" t="n">
        <f aca="false">-Fixed_Assets!N8*Assumptions!$C$18</f>
        <v>-987</v>
      </c>
      <c r="O11" s="65" t="n">
        <f aca="false">-Fixed_Assets!O8*Assumptions!$C$18</f>
        <v>-1442.525</v>
      </c>
      <c r="P11" s="65" t="n">
        <f aca="false">-Fixed_Assets!P8*Assumptions!$C$18</f>
        <v>-1040.75250416667</v>
      </c>
      <c r="Q11" s="65" t="n">
        <f aca="false">-Fixed_Assets!Q8*Assumptions!$C$18</f>
        <v>-3832.05060753472</v>
      </c>
      <c r="R11" s="65" t="n">
        <f aca="false">-Fixed_Assets!R8*Assumptions!$C$18</f>
        <v>-1047.48520067384</v>
      </c>
      <c r="S11" s="65" t="n">
        <f aca="false">-Fixed_Assets!S8*Assumptions!$C$18</f>
        <v>-1845.35811056307</v>
      </c>
      <c r="T11" s="65" t="n">
        <f aca="false">-Fixed_Assets!T8*Assumptions!$C$18</f>
        <v>-1483.09195394504</v>
      </c>
      <c r="U11" s="65" t="n">
        <f aca="false">-Fixed_Assets!U8*Assumptions!$C$18</f>
        <v>-1881.54190069557</v>
      </c>
      <c r="V11" s="65" t="n">
        <f aca="false">-Fixed_Assets!V8*Assumptions!$C$18</f>
        <v>-1096.29871998276</v>
      </c>
      <c r="W11" s="65" t="n">
        <f aca="false">-Fixed_Assets!W8*Assumptions!$C$18</f>
        <v>-1100.07167494999</v>
      </c>
      <c r="X11" s="65" t="n">
        <f aca="false">-Fixed_Assets!X8*Assumptions!$C$18</f>
        <v>-1113.10947660901</v>
      </c>
      <c r="Y11" s="65" t="n">
        <f aca="false">-Fixed_Assets!Y8*Assumptions!$C$18</f>
        <v>-1910.84264126107</v>
      </c>
      <c r="Z11" s="65" t="n">
        <f aca="false">-Fixed_Assets!Z8*Assumptions!$C$18</f>
        <v>-1112.61628307818</v>
      </c>
      <c r="AA11" s="65" t="n">
        <f aca="false">-Fixed_Assets!AA8*Assumptions!$C$18</f>
        <v>-1112.6251242939</v>
      </c>
      <c r="AB11" s="65" t="n">
        <f aca="false">-Fixed_Assets!AB8*Assumptions!$C$18</f>
        <v>-1120.60917436431</v>
      </c>
    </row>
    <row r="12" customFormat="false" ht="15" hidden="false" customHeight="false" outlineLevel="0" collapsed="false">
      <c r="A12" s="28" t="s">
        <v>1404</v>
      </c>
      <c r="B12" s="63"/>
      <c r="C12" s="64" t="n">
        <f aca="false">SUM(E12:P12)</f>
        <v>-309928.213443306</v>
      </c>
      <c r="D12" s="64" t="n">
        <f aca="false">SUM(Q12:AB12)</f>
        <v>-340581.505239496</v>
      </c>
      <c r="E12" s="74" t="n">
        <f aca="false">-E9</f>
        <v>-26330.4783</v>
      </c>
      <c r="F12" s="74" t="n">
        <f aca="false">-F9</f>
        <v>-27407.5956</v>
      </c>
      <c r="G12" s="74" t="n">
        <f aca="false">-G9</f>
        <v>-25773.5793</v>
      </c>
      <c r="H12" s="74" t="n">
        <f aca="false">-H9</f>
        <v>-26030.0796</v>
      </c>
      <c r="I12" s="74" t="n">
        <f aca="false">-I9</f>
        <v>-24888.4776</v>
      </c>
      <c r="J12" s="74" t="n">
        <f aca="false">-J9</f>
        <v>-26514.2283</v>
      </c>
      <c r="K12" s="74" t="n">
        <f aca="false">-K9</f>
        <v>-25923.1434</v>
      </c>
      <c r="L12" s="74" t="n">
        <f aca="false">-L9</f>
        <v>-23205.3108</v>
      </c>
      <c r="M12" s="74" t="n">
        <f aca="false">-M9</f>
        <v>-25788.9363818243</v>
      </c>
      <c r="N12" s="74" t="n">
        <f aca="false">-N9</f>
        <v>-25874.7519898906</v>
      </c>
      <c r="O12" s="74" t="n">
        <f aca="false">-O9</f>
        <v>-26043.1574304834</v>
      </c>
      <c r="P12" s="74" t="n">
        <f aca="false">-P9</f>
        <v>-26148.4747411076</v>
      </c>
      <c r="Q12" s="74" t="n">
        <f aca="false">-Q9</f>
        <v>-29444.5870745779</v>
      </c>
      <c r="R12" s="74" t="n">
        <f aca="false">-R9</f>
        <v>-29553.695448122</v>
      </c>
      <c r="S12" s="74" t="n">
        <f aca="false">-S9</f>
        <v>-29759.8601069515</v>
      </c>
      <c r="T12" s="74" t="n">
        <f aca="false">-T9</f>
        <v>-27774.7245790837</v>
      </c>
      <c r="U12" s="74" t="n">
        <f aca="false">-U9</f>
        <v>-27949.0026486731</v>
      </c>
      <c r="V12" s="74" t="n">
        <f aca="false">-V9</f>
        <v>-28055.8664998081</v>
      </c>
      <c r="W12" s="74" t="n">
        <f aca="false">-W9</f>
        <v>-28151.8185597607</v>
      </c>
      <c r="X12" s="74" t="n">
        <f aca="false">-X9</f>
        <v>-25375.7116012282</v>
      </c>
      <c r="Y12" s="74" t="n">
        <f aca="false">-Y9</f>
        <v>-28452.3022996012</v>
      </c>
      <c r="Z12" s="74" t="n">
        <f aca="false">-Z9</f>
        <v>-28577.6658675196</v>
      </c>
      <c r="AA12" s="74" t="n">
        <f aca="false">-AA9</f>
        <v>-28693.5594505338</v>
      </c>
      <c r="AB12" s="74" t="n">
        <f aca="false">-AB9</f>
        <v>-28792.7111036365</v>
      </c>
    </row>
    <row r="13" customFormat="false" ht="15" hidden="false" customHeight="false" outlineLevel="0" collapsed="false">
      <c r="A13" s="59" t="s">
        <v>1405</v>
      </c>
      <c r="B13" s="60"/>
      <c r="C13" s="61" t="n">
        <f aca="false">SUM(E13:P13)</f>
        <v>707253.587102261</v>
      </c>
      <c r="D13" s="61" t="n">
        <f aca="false">SUM(Q13:AB13)</f>
        <v>882705.81245769</v>
      </c>
      <c r="E13" s="61" t="n">
        <f aca="false">SUM(E8:E12)</f>
        <v>111066.793803</v>
      </c>
      <c r="F13" s="61" t="n">
        <f aca="false">SUM(F8:F12)</f>
        <v>29617.175931</v>
      </c>
      <c r="G13" s="61" t="n">
        <f aca="false">SUM(G8:G12)</f>
        <v>78482.487216</v>
      </c>
      <c r="H13" s="61" t="n">
        <f aca="false">SUM(H8:H12)</f>
        <v>75316.081197</v>
      </c>
      <c r="I13" s="61" t="n">
        <f aca="false">SUM(I8:I12)</f>
        <v>45042.253683</v>
      </c>
      <c r="J13" s="61" t="n">
        <f aca="false">SUM(J8:J12)</f>
        <v>69766.862487</v>
      </c>
      <c r="K13" s="61" t="n">
        <f aca="false">SUM(K8:K12)</f>
        <v>44423.986236</v>
      </c>
      <c r="L13" s="61" t="n">
        <f aca="false">SUM(L8:L12)</f>
        <v>35390.653494</v>
      </c>
      <c r="M13" s="61" t="n">
        <f aca="false">SUM(M8:M12)</f>
        <v>55447.9533745556</v>
      </c>
      <c r="N13" s="61" t="n">
        <f aca="false">SUM(N8:N12)</f>
        <v>58595.0915970703</v>
      </c>
      <c r="O13" s="61" t="n">
        <f aca="false">SUM(O8:O12)</f>
        <v>67774.7224234076</v>
      </c>
      <c r="P13" s="61" t="n">
        <f aca="false">SUM(P8:P12)</f>
        <v>36329.5256602279</v>
      </c>
      <c r="Q13" s="61" t="n">
        <f aca="false">SUM(Q8:Q12)</f>
        <v>109527.27050331</v>
      </c>
      <c r="R13" s="61" t="n">
        <f aca="false">SUM(R8:R12)</f>
        <v>44638.2814371814</v>
      </c>
      <c r="S13" s="61" t="n">
        <f aca="false">SUM(S8:S12)</f>
        <v>92019.2127790747</v>
      </c>
      <c r="T13" s="61" t="n">
        <f aca="false">SUM(T8:T12)</f>
        <v>91518.029975987</v>
      </c>
      <c r="U13" s="61" t="n">
        <f aca="false">SUM(U8:U12)</f>
        <v>55485.284267254</v>
      </c>
      <c r="V13" s="61" t="n">
        <f aca="false">SUM(V8:V12)</f>
        <v>88188.8511039786</v>
      </c>
      <c r="W13" s="61" t="n">
        <f aca="false">SUM(W8:W12)</f>
        <v>62130.7578128482</v>
      </c>
      <c r="X13" s="61" t="n">
        <f aca="false">SUM(X8:X12)</f>
        <v>49272.3203709621</v>
      </c>
      <c r="Y13" s="61" t="n">
        <f aca="false">SUM(Y8:Y12)</f>
        <v>72220.7051788838</v>
      </c>
      <c r="Z13" s="61" t="n">
        <f aca="false">SUM(Z8:Z12)</f>
        <v>77643.6294594498</v>
      </c>
      <c r="AA13" s="61" t="n">
        <f aca="false">SUM(AA8:AA12)</f>
        <v>86203.9062452958</v>
      </c>
      <c r="AB13" s="61" t="n">
        <f aca="false">SUM(AB8:AB12)</f>
        <v>53857.5633234647</v>
      </c>
    </row>
    <row r="14" customFormat="false" ht="15" hidden="false" customHeight="false" outlineLevel="0" collapsed="false">
      <c r="A14" s="28" t="s">
        <v>1406</v>
      </c>
      <c r="B14" s="63" t="s">
        <v>1407</v>
      </c>
      <c r="C14" s="64" t="n">
        <f aca="false">SUM(E14:P14)</f>
        <v>660233.343104556</v>
      </c>
      <c r="D14" s="64" t="n">
        <f aca="false">SUM(Q14:AB14)</f>
        <v>991547.588814931</v>
      </c>
      <c r="E14" s="65" t="n">
        <f aca="false">IF(E$5="A",Inputs_Actuals!E310,IF(Assumptions!E$212=1,Inputs_Actuals!$C$336,0))</f>
        <v>115679.1</v>
      </c>
      <c r="F14" s="65" t="n">
        <f aca="false">IF(F$5="A",Inputs_Actuals!F310,IF(Assumptions!F$212=1,0,0))</f>
        <v>0</v>
      </c>
      <c r="G14" s="65" t="n">
        <f aca="false">IF(G$5="A",Inputs_Actuals!G310,IF(Assumptions!G$212=1,0,0))</f>
        <v>0</v>
      </c>
      <c r="H14" s="65" t="n">
        <f aca="false">IF(H$5="A",Inputs_Actuals!H310,IF(Assumptions!H$212=1,E13+F13+G13,0))</f>
        <v>219166.46</v>
      </c>
      <c r="I14" s="65" t="n">
        <f aca="false">IF(I$5="A",Inputs_Actuals!I310,IF(Assumptions!I$212=1,F13+G13+H13,0))</f>
        <v>0</v>
      </c>
      <c r="J14" s="65" t="n">
        <f aca="false">IF(J$5="A",Inputs_Actuals!J310,IF(Assumptions!J$212=1,G13+H13+I13,0))</f>
        <v>0</v>
      </c>
      <c r="K14" s="65" t="n">
        <f aca="false">IF(K$5="A",Inputs_Actuals!K310,IF(Assumptions!K$212=1,H13+I13+J13,0))</f>
        <v>190125.19</v>
      </c>
      <c r="L14" s="65" t="n">
        <f aca="false">IF(L$5="A",Inputs_Actuals!L310,IF(Assumptions!L$212=1,I13+J13+K13,0))</f>
        <v>0</v>
      </c>
      <c r="M14" s="65" t="n">
        <f aca="false">IF(M$5="A",Inputs_Actuals!M310,IF(Assumptions!M$212=1,J13+K13+L13,0))</f>
        <v>0</v>
      </c>
      <c r="N14" s="65" t="n">
        <f aca="false">IF(N$5="A",Inputs_Actuals!N310,IF(Assumptions!N$212=1,K13+L13+M13,0))</f>
        <v>135262.593104556</v>
      </c>
      <c r="O14" s="65" t="n">
        <f aca="false">IF(O$5="A",Inputs_Actuals!O310,IF(Assumptions!O$212=1,L13+M13+N13,0))</f>
        <v>0</v>
      </c>
      <c r="P14" s="65" t="n">
        <f aca="false">IF(P$5="A",Inputs_Actuals!P310,IF(Assumptions!P$212=1,M13+N13+O13,0))</f>
        <v>0</v>
      </c>
      <c r="Q14" s="65" t="n">
        <f aca="false">IF(Q$5="A",Inputs_Actuals!Q310,IF(Assumptions!Q$213=1,N13+O13+P13,IF(Assumptions!Q$212=1,N13+O13+P13,0)))</f>
        <v>162699.339680706</v>
      </c>
      <c r="R14" s="65" t="n">
        <f aca="false">IF(R$5="A",Inputs_Actuals!R310,IF(Assumptions!R$213=1,Q13,IF(Assumptions!R$212=1,O13+P13+Q13,0)))</f>
        <v>109527.27050331</v>
      </c>
      <c r="S14" s="65" t="n">
        <f aca="false">IF(S$5="A",Inputs_Actuals!S310,IF(Assumptions!S$213=1,R13,IF(Assumptions!S$212=1,P13+Q13+R13,0)))</f>
        <v>44638.2814371814</v>
      </c>
      <c r="T14" s="65" t="n">
        <f aca="false">IF(T$5="A",Inputs_Actuals!T310,IF(Assumptions!T$213=1,S13,IF(Assumptions!T$212=1,Q13+R13+S13,0)))</f>
        <v>92019.2127790747</v>
      </c>
      <c r="U14" s="65" t="n">
        <f aca="false">IF(U$5="A",Inputs_Actuals!U310,IF(Assumptions!U$213=1,T13,IF(Assumptions!U$212=1,R13+S13+T13,0)))</f>
        <v>91518.029975987</v>
      </c>
      <c r="V14" s="65" t="n">
        <f aca="false">IF(V$5="A",Inputs_Actuals!V310,IF(Assumptions!V$213=1,U13,IF(Assumptions!V$212=1,S13+T13+U13,0)))</f>
        <v>55485.284267254</v>
      </c>
      <c r="W14" s="65" t="n">
        <f aca="false">IF(W$5="A",Inputs_Actuals!W310,IF(Assumptions!W$213=1,V13,IF(Assumptions!W$212=1,T13+U13+V13,0)))</f>
        <v>88188.8511039786</v>
      </c>
      <c r="X14" s="65" t="n">
        <f aca="false">IF(X$5="A",Inputs_Actuals!X310,IF(Assumptions!X$213=1,W13,IF(Assumptions!X$212=1,U13+V13+W13,0)))</f>
        <v>62130.7578128482</v>
      </c>
      <c r="Y14" s="65" t="n">
        <f aca="false">IF(Y$5="A",Inputs_Actuals!Y310,IF(Assumptions!Y$213=1,X13,IF(Assumptions!Y$212=1,V13+W13+X13,0)))</f>
        <v>49272.3203709621</v>
      </c>
      <c r="Z14" s="65" t="n">
        <f aca="false">IF(Z$5="A",Inputs_Actuals!Z310,IF(Assumptions!Z$213=1,Y13,IF(Assumptions!Z$212=1,W13+X13+Y13,0)))</f>
        <v>72220.7051788838</v>
      </c>
      <c r="AA14" s="65" t="n">
        <f aca="false">IF(AA$5="A",Inputs_Actuals!AA310,IF(Assumptions!AA$213=1,Z13,IF(Assumptions!AA$212=1,X13+Y13+Z13,0)))</f>
        <v>77643.6294594498</v>
      </c>
      <c r="AB14" s="65" t="n">
        <f aca="false">IF(AB$5="A",Inputs_Actuals!AB310,IF(Assumptions!AB$213=1,AA13,IF(Assumptions!AB$212=1,Y13+Z13+AA13,0)))</f>
        <v>86203.9062452958</v>
      </c>
    </row>
    <row r="15" customFormat="false" ht="15" hidden="false" customHeight="false" outlineLevel="0" collapsed="false">
      <c r="A15" s="59" t="s">
        <v>1408</v>
      </c>
      <c r="B15" s="60"/>
      <c r="C15" s="61" t="n">
        <f aca="false">P15</f>
        <v>162699.343997706</v>
      </c>
      <c r="D15" s="61" t="n">
        <f aca="false">AB15</f>
        <v>53857.5676404648</v>
      </c>
      <c r="E15" s="62" t="n">
        <f aca="false">Inputs_Actuals!$C$336+E13-E14</f>
        <v>111066.793803</v>
      </c>
      <c r="F15" s="61" t="n">
        <f aca="false">E15+F13-F14</f>
        <v>140683.969734</v>
      </c>
      <c r="G15" s="61" t="n">
        <f aca="false">F15+G13-G14</f>
        <v>219166.45695</v>
      </c>
      <c r="H15" s="61" t="n">
        <f aca="false">G15+H13-H14</f>
        <v>75316.078147</v>
      </c>
      <c r="I15" s="61" t="n">
        <f aca="false">H15+I13-I14</f>
        <v>120358.33183</v>
      </c>
      <c r="J15" s="61" t="n">
        <f aca="false">I15+J13-J14</f>
        <v>190125.194317</v>
      </c>
      <c r="K15" s="61" t="n">
        <f aca="false">J15+K13-K14</f>
        <v>44423.990553</v>
      </c>
      <c r="L15" s="61" t="n">
        <f aca="false">K15+L13-L14</f>
        <v>79814.644047</v>
      </c>
      <c r="M15" s="61" t="n">
        <f aca="false">L15+M13-M14</f>
        <v>135262.597421556</v>
      </c>
      <c r="N15" s="61" t="n">
        <f aca="false">M15+N13-N14</f>
        <v>58595.0959140703</v>
      </c>
      <c r="O15" s="61" t="n">
        <f aca="false">N15+O13-O14</f>
        <v>126369.818337478</v>
      </c>
      <c r="P15" s="61" t="n">
        <f aca="false">O15+P13-P14</f>
        <v>162699.343997706</v>
      </c>
      <c r="Q15" s="61" t="n">
        <f aca="false">P15+Q13-Q14</f>
        <v>109527.27482031</v>
      </c>
      <c r="R15" s="61" t="n">
        <f aca="false">Q15+R13-R14</f>
        <v>44638.2857541813</v>
      </c>
      <c r="S15" s="61" t="n">
        <f aca="false">R15+S13-S14</f>
        <v>92019.2170960747</v>
      </c>
      <c r="T15" s="61" t="n">
        <f aca="false">S15+T13-T14</f>
        <v>91518.034292987</v>
      </c>
      <c r="U15" s="61" t="n">
        <f aca="false">T15+U13-U14</f>
        <v>55485.288584254</v>
      </c>
      <c r="V15" s="61" t="n">
        <f aca="false">U15+V13-V14</f>
        <v>88188.8554209786</v>
      </c>
      <c r="W15" s="61" t="n">
        <f aca="false">V15+W13-W14</f>
        <v>62130.7621298482</v>
      </c>
      <c r="X15" s="61" t="n">
        <f aca="false">W15+X13-X14</f>
        <v>49272.3246879621</v>
      </c>
      <c r="Y15" s="61" t="n">
        <f aca="false">X15+Y13-Y14</f>
        <v>72220.7094958838</v>
      </c>
      <c r="Z15" s="61" t="n">
        <f aca="false">Y15+Z13-Z14</f>
        <v>77643.6337764498</v>
      </c>
      <c r="AA15" s="61" t="n">
        <f aca="false">Z15+AA13-AA14</f>
        <v>86203.9105622958</v>
      </c>
      <c r="AB15" s="61" t="n">
        <f aca="false">AA15+AB13-AB14</f>
        <v>53857.5676404648</v>
      </c>
    </row>
    <row r="16" customFormat="false" ht="15" hidden="false" customHeight="false" outlineLevel="0" collapsed="false">
      <c r="A16" s="28" t="s">
        <v>1409</v>
      </c>
      <c r="B16" s="63" t="s">
        <v>1410</v>
      </c>
      <c r="C16" s="64" t="n">
        <f aca="false">P16</f>
        <v>162699.339680706</v>
      </c>
      <c r="D16" s="64" t="n">
        <f aca="false">AB16</f>
        <v>53857.5633234647</v>
      </c>
      <c r="E16" s="74" t="n">
        <f aca="false">E13</f>
        <v>111066.793803</v>
      </c>
      <c r="F16" s="74" t="n">
        <f aca="false">E13+F13</f>
        <v>140683.969734</v>
      </c>
      <c r="G16" s="74" t="n">
        <f aca="false">E13+F13+G13</f>
        <v>219166.45695</v>
      </c>
      <c r="H16" s="74" t="n">
        <f aca="false">H13</f>
        <v>75316.081197</v>
      </c>
      <c r="I16" s="74" t="n">
        <f aca="false">H13+I13</f>
        <v>120358.33488</v>
      </c>
      <c r="J16" s="74" t="n">
        <f aca="false">H13+I13+J13</f>
        <v>190125.197367</v>
      </c>
      <c r="K16" s="74" t="n">
        <f aca="false">K13</f>
        <v>44423.986236</v>
      </c>
      <c r="L16" s="74" t="n">
        <f aca="false">K13+L13</f>
        <v>79814.63973</v>
      </c>
      <c r="M16" s="74" t="n">
        <f aca="false">K13+L13+M13</f>
        <v>135262.593104556</v>
      </c>
      <c r="N16" s="74" t="n">
        <f aca="false">N13</f>
        <v>58595.0915970703</v>
      </c>
      <c r="O16" s="74" t="n">
        <f aca="false">N13+O13</f>
        <v>126369.814020478</v>
      </c>
      <c r="P16" s="74" t="n">
        <f aca="false">N13+O13+P13</f>
        <v>162699.339680706</v>
      </c>
      <c r="Q16" s="65" t="n">
        <f aca="false">IF(Assumptions!Q$213=1,Q13,Q13)</f>
        <v>109527.27050331</v>
      </c>
      <c r="R16" s="65" t="n">
        <f aca="false">IF(Assumptions!R$213=1,R13,Q13+R13)</f>
        <v>44638.2814371814</v>
      </c>
      <c r="S16" s="65" t="n">
        <f aca="false">IF(Assumptions!S$213=1,S13,Q13+R13+S13)</f>
        <v>92019.2127790747</v>
      </c>
      <c r="T16" s="65" t="n">
        <f aca="false">IF(Assumptions!T$213=1,T13,T13)</f>
        <v>91518.029975987</v>
      </c>
      <c r="U16" s="65" t="n">
        <f aca="false">IF(Assumptions!U$213=1,U13,T13+U13)</f>
        <v>55485.284267254</v>
      </c>
      <c r="V16" s="65" t="n">
        <f aca="false">IF(Assumptions!V$213=1,V13,T13+U13+V13)</f>
        <v>88188.8511039786</v>
      </c>
      <c r="W16" s="65" t="n">
        <f aca="false">IF(Assumptions!W$213=1,W13,W13)</f>
        <v>62130.7578128482</v>
      </c>
      <c r="X16" s="65" t="n">
        <f aca="false">IF(Assumptions!X$213=1,X13,W13+X13)</f>
        <v>49272.3203709621</v>
      </c>
      <c r="Y16" s="65" t="n">
        <f aca="false">IF(Assumptions!Y$213=1,Y13,W13+X13+Y13)</f>
        <v>72220.7051788838</v>
      </c>
      <c r="Z16" s="65" t="n">
        <f aca="false">IF(Assumptions!Z$213=1,Z13,Z13)</f>
        <v>77643.6294594498</v>
      </c>
      <c r="AA16" s="65" t="n">
        <f aca="false">IF(Assumptions!AA$213=1,AA13,Z13+AA13)</f>
        <v>86203.9062452958</v>
      </c>
      <c r="AB16" s="65" t="n">
        <f aca="false">IF(Assumptions!AB$213=1,AB13,Z13+AA13+AB13)</f>
        <v>53857.5633234647</v>
      </c>
    </row>
    <row r="17" customFormat="false" ht="15" hidden="false" customHeight="false" outlineLevel="0" collapsed="false">
      <c r="A17" s="28" t="s">
        <v>1411</v>
      </c>
      <c r="B17" s="63"/>
      <c r="C17" s="64" t="n">
        <f aca="false">SUM(E17:P17)</f>
        <v>0</v>
      </c>
      <c r="D17" s="64" t="n">
        <f aca="false">SUM(Q17:AB17)</f>
        <v>0</v>
      </c>
      <c r="E17" s="74" t="n">
        <f aca="false">ROUND(E15-E16,0)</f>
        <v>0</v>
      </c>
      <c r="F17" s="74" t="n">
        <f aca="false">ROUND(F15-F16,0)</f>
        <v>0</v>
      </c>
      <c r="G17" s="74" t="n">
        <f aca="false">ROUND(G15-G16,0)</f>
        <v>0</v>
      </c>
      <c r="H17" s="74" t="n">
        <f aca="false">ROUND(H15-H16,0)</f>
        <v>-0</v>
      </c>
      <c r="I17" s="74" t="n">
        <f aca="false">ROUND(I15-I16,0)</f>
        <v>-0</v>
      </c>
      <c r="J17" s="74" t="n">
        <f aca="false">ROUND(J15-J16,0)</f>
        <v>-0</v>
      </c>
      <c r="K17" s="74" t="n">
        <f aca="false">ROUND(K15-K16,0)</f>
        <v>0</v>
      </c>
      <c r="L17" s="74" t="n">
        <f aca="false">ROUND(L15-L16,0)</f>
        <v>0</v>
      </c>
      <c r="M17" s="74" t="n">
        <f aca="false">ROUND(M15-M16,0)</f>
        <v>0</v>
      </c>
      <c r="N17" s="74" t="n">
        <f aca="false">ROUND(N15-N16,0)</f>
        <v>0</v>
      </c>
      <c r="O17" s="74" t="n">
        <f aca="false">ROUND(O15-O16,0)</f>
        <v>0</v>
      </c>
      <c r="P17" s="74" t="n">
        <f aca="false">ROUND(P15-P16,0)</f>
        <v>0</v>
      </c>
      <c r="Q17" s="74" t="n">
        <f aca="false">ROUND(Q15-Q16,0)</f>
        <v>0</v>
      </c>
      <c r="R17" s="74" t="n">
        <f aca="false">ROUND(R15-R16,0)</f>
        <v>0</v>
      </c>
      <c r="S17" s="74" t="n">
        <f aca="false">ROUND(S15-S16,0)</f>
        <v>0</v>
      </c>
      <c r="T17" s="74" t="n">
        <f aca="false">ROUND(T15-T16,0)</f>
        <v>0</v>
      </c>
      <c r="U17" s="74" t="n">
        <f aca="false">ROUND(U15-U16,0)</f>
        <v>0</v>
      </c>
      <c r="V17" s="74" t="n">
        <f aca="false">ROUND(V15-V16,0)</f>
        <v>0</v>
      </c>
      <c r="W17" s="74" t="n">
        <f aca="false">ROUND(W15-W16,0)</f>
        <v>0</v>
      </c>
      <c r="X17" s="74" t="n">
        <f aca="false">ROUND(X15-X16,0)</f>
        <v>0</v>
      </c>
      <c r="Y17" s="74" t="n">
        <f aca="false">ROUND(Y15-Y16,0)</f>
        <v>0</v>
      </c>
      <c r="Z17" s="74" t="n">
        <f aca="false">ROUND(Z15-Z16,0)</f>
        <v>0</v>
      </c>
      <c r="AA17" s="74" t="n">
        <f aca="false">ROUND(AA15-AA16,0)</f>
        <v>0</v>
      </c>
      <c r="AB17" s="74" t="n">
        <f aca="false">ROUND(AB15-AB16,0)</f>
        <v>0</v>
      </c>
    </row>
    <row r="18" customFormat="false" ht="15" hidden="false" customHeight="false" outlineLevel="0" collapsed="false">
      <c r="A18" s="28" t="s">
        <v>1412</v>
      </c>
      <c r="B18" s="63"/>
      <c r="E18" s="101" t="n">
        <f aca="false">Assumptions!E$213</f>
        <v>0</v>
      </c>
      <c r="F18" s="101" t="n">
        <f aca="false">Assumptions!F$213</f>
        <v>0</v>
      </c>
      <c r="G18" s="101" t="n">
        <f aca="false">Assumptions!G$213</f>
        <v>0</v>
      </c>
      <c r="H18" s="101" t="n">
        <f aca="false">Assumptions!H$213</f>
        <v>0</v>
      </c>
      <c r="I18" s="101" t="n">
        <f aca="false">Assumptions!I$213</f>
        <v>0</v>
      </c>
      <c r="J18" s="101" t="n">
        <f aca="false">Assumptions!J$213</f>
        <v>0</v>
      </c>
      <c r="K18" s="101" t="n">
        <f aca="false">Assumptions!K$213</f>
        <v>0</v>
      </c>
      <c r="L18" s="101" t="n">
        <f aca="false">Assumptions!L$213</f>
        <v>0</v>
      </c>
      <c r="M18" s="101" t="n">
        <f aca="false">Assumptions!M$213</f>
        <v>0</v>
      </c>
      <c r="N18" s="101" t="n">
        <f aca="false">Assumptions!N$213</f>
        <v>0</v>
      </c>
      <c r="O18" s="101" t="n">
        <f aca="false">Assumptions!O$213</f>
        <v>0</v>
      </c>
      <c r="P18" s="101" t="n">
        <f aca="false">Assumptions!P$213</f>
        <v>0</v>
      </c>
      <c r="Q18" s="101" t="n">
        <f aca="false">Assumptions!Q$213</f>
        <v>1</v>
      </c>
      <c r="R18" s="101" t="n">
        <f aca="false">Assumptions!R$213</f>
        <v>1</v>
      </c>
      <c r="S18" s="101" t="n">
        <f aca="false">Assumptions!S$213</f>
        <v>1</v>
      </c>
      <c r="T18" s="101" t="n">
        <f aca="false">Assumptions!T$213</f>
        <v>1</v>
      </c>
      <c r="U18" s="101" t="n">
        <f aca="false">Assumptions!U$213</f>
        <v>1</v>
      </c>
      <c r="V18" s="101" t="n">
        <f aca="false">Assumptions!V$213</f>
        <v>1</v>
      </c>
      <c r="W18" s="101" t="n">
        <f aca="false">Assumptions!W$213</f>
        <v>1</v>
      </c>
      <c r="X18" s="101" t="n">
        <f aca="false">Assumptions!X$213</f>
        <v>1</v>
      </c>
      <c r="Y18" s="101" t="n">
        <f aca="false">Assumptions!Y$213</f>
        <v>1</v>
      </c>
      <c r="Z18" s="101" t="n">
        <f aca="false">Assumptions!Z$213</f>
        <v>1</v>
      </c>
      <c r="AA18" s="101" t="n">
        <f aca="false">Assumptions!AA$213</f>
        <v>1</v>
      </c>
      <c r="AB18" s="101" t="n">
        <f aca="false">Assumptions!AB$213</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1413</v>
      </c>
    </row>
    <row r="3" customFormat="false" ht="15" hidden="false" customHeight="false" outlineLevel="0" collapsed="false">
      <c r="A3" s="50" t="s">
        <v>1414</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1415</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1416</v>
      </c>
      <c r="B9" s="63" t="s">
        <v>60</v>
      </c>
      <c r="C9" s="64" t="n">
        <f aca="false">SUM(E9:P9)</f>
        <v>793048.491447004</v>
      </c>
      <c r="D9" s="64" t="n">
        <f aca="false">SUM(Q9:AB9)</f>
        <v>928208.267725576</v>
      </c>
      <c r="E9" s="65" t="n">
        <f aca="false">People!E216</f>
        <v>52878.7324</v>
      </c>
      <c r="F9" s="65" t="n">
        <f aca="false">People!F216</f>
        <v>55464.6926</v>
      </c>
      <c r="G9" s="65" t="n">
        <f aca="false">People!G216</f>
        <v>55450.8638</v>
      </c>
      <c r="H9" s="65" t="n">
        <f aca="false">People!H216</f>
        <v>57240.5988</v>
      </c>
      <c r="I9" s="65" t="n">
        <f aca="false">People!I216</f>
        <v>59832.8436</v>
      </c>
      <c r="J9" s="65" t="n">
        <f aca="false">People!J216</f>
        <v>112321.2866</v>
      </c>
      <c r="K9" s="65" t="n">
        <f aca="false">People!K216</f>
        <v>57573.0762</v>
      </c>
      <c r="L9" s="65" t="n">
        <f aca="false">People!L216</f>
        <v>57973.9624</v>
      </c>
      <c r="M9" s="65" t="n">
        <f aca="false">People!M216</f>
        <v>56707.8329809524</v>
      </c>
      <c r="N9" s="65" t="n">
        <f aca="false">People!N216</f>
        <v>56596.1836421811</v>
      </c>
      <c r="O9" s="65" t="n">
        <f aca="false">People!O216</f>
        <v>57146.5738979387</v>
      </c>
      <c r="P9" s="65" t="n">
        <f aca="false">People!P216</f>
        <v>113861.844525931</v>
      </c>
      <c r="Q9" s="65" t="n">
        <f aca="false">People!Q216</f>
        <v>65049.1698002375</v>
      </c>
      <c r="R9" s="65" t="n">
        <f aca="false">People!R216</f>
        <v>65242.4849509753</v>
      </c>
      <c r="S9" s="65" t="n">
        <f aca="false">People!S216</f>
        <v>65421.5103807766</v>
      </c>
      <c r="T9" s="65" t="n">
        <f aca="false">People!T216</f>
        <v>66196.9481105873</v>
      </c>
      <c r="U9" s="65" t="n">
        <f aca="false">People!U216</f>
        <v>66868.7229478123</v>
      </c>
      <c r="V9" s="65" t="n">
        <f aca="false">People!V216</f>
        <v>130215.813378158</v>
      </c>
      <c r="W9" s="65" t="n">
        <f aca="false">People!W216</f>
        <v>66896.2210039684</v>
      </c>
      <c r="X9" s="65" t="n">
        <f aca="false">People!X216</f>
        <v>66829.3464517114</v>
      </c>
      <c r="Y9" s="65" t="n">
        <f aca="false">People!Y216</f>
        <v>67192.647910668</v>
      </c>
      <c r="Z9" s="65" t="n">
        <f aca="false">People!Z216</f>
        <v>67666.9566438286</v>
      </c>
      <c r="AA9" s="65" t="n">
        <f aca="false">People!AA216</f>
        <v>67628.2367809659</v>
      </c>
      <c r="AB9" s="65" t="n">
        <f aca="false">People!AB216</f>
        <v>133000.209365887</v>
      </c>
    </row>
    <row r="10" customFormat="false" ht="15" hidden="false" customHeight="false" outlineLevel="0" collapsed="false">
      <c r="A10" s="28" t="s">
        <v>1389</v>
      </c>
      <c r="B10" s="63" t="s">
        <v>1407</v>
      </c>
      <c r="C10" s="64" t="n">
        <f aca="false">SUM(E10:P10)</f>
        <v>768883.601580952</v>
      </c>
      <c r="D10" s="64" t="n">
        <f aca="false">SUM(Q10:AB10)</f>
        <v>1022812.66042574</v>
      </c>
      <c r="E10" s="65" t="n">
        <f aca="false">IF(E$5="A",Inputs_Actuals!E311,IF(Assumptions!E$212=1,Inputs_Actuals!$C$334,0))</f>
        <v>203439.72</v>
      </c>
      <c r="F10" s="65" t="n">
        <f aca="false">IF(F$5="A",Inputs_Actuals!F311,IF(Assumptions!F$212=1,0,0))</f>
        <v>0</v>
      </c>
      <c r="G10" s="65" t="n">
        <f aca="false">IF(G$5="A",Inputs_Actuals!G311,IF(Assumptions!G$212=1,0,0))</f>
        <v>0</v>
      </c>
      <c r="H10" s="65" t="n">
        <f aca="false">IF(H$5="A",Inputs_Actuals!H311,IF(Assumptions!H$212=1,E9+F9+G9,0))</f>
        <v>163794.28</v>
      </c>
      <c r="I10" s="65" t="n">
        <f aca="false">IF(I$5="A",Inputs_Actuals!I311,IF(Assumptions!I$212=1,F9+G9+H9,0))</f>
        <v>0</v>
      </c>
      <c r="J10" s="65" t="n">
        <f aca="false">IF(J$5="A",Inputs_Actuals!J311,IF(Assumptions!J$212=1,G9+H9+I9,0))</f>
        <v>0</v>
      </c>
      <c r="K10" s="65" t="n">
        <f aca="false">IF(K$5="A",Inputs_Actuals!K311,IF(Assumptions!K$212=1,H9+I9+J9,0))</f>
        <v>229394.73</v>
      </c>
      <c r="L10" s="65" t="n">
        <f aca="false">IF(L$5="A",Inputs_Actuals!L311,IF(Assumptions!L$212=1,I9+J9+K9,0))</f>
        <v>0</v>
      </c>
      <c r="M10" s="65" t="n">
        <f aca="false">IF(M$5="A",Inputs_Actuals!M311,IF(Assumptions!M$212=1,J9+K9+L9,0))</f>
        <v>0</v>
      </c>
      <c r="N10" s="65" t="n">
        <f aca="false">IF(N$5="A",Inputs_Actuals!N311,IF(Assumptions!N$212=1,K9+L9+M9,0))</f>
        <v>172254.871580952</v>
      </c>
      <c r="O10" s="65" t="n">
        <f aca="false">IF(O$5="A",Inputs_Actuals!O311,IF(Assumptions!O$212=1,L9+M9+N9,0))</f>
        <v>0</v>
      </c>
      <c r="P10" s="65" t="n">
        <f aca="false">IF(P$5="A",Inputs_Actuals!P311,IF(Assumptions!P$212=1,M9+N9+O9,0))</f>
        <v>0</v>
      </c>
      <c r="Q10" s="65" t="n">
        <f aca="false">IF(Q$5="A",Inputs_Actuals!Q311,IF(Assumptions!Q$213=1,N9+O9+P9,IF(Assumptions!Q$212=1,N9+O9+P9,0)))</f>
        <v>227604.602066051</v>
      </c>
      <c r="R10" s="65" t="n">
        <f aca="false">IF(R$5="A",Inputs_Actuals!R311,IF(Assumptions!R$213=1,Q9,IF(Assumptions!R$212=1,O9+P9+Q9,0)))</f>
        <v>65049.1698002375</v>
      </c>
      <c r="S10" s="65" t="n">
        <f aca="false">IF(S$5="A",Inputs_Actuals!S311,IF(Assumptions!S$213=1,R9,IF(Assumptions!S$212=1,P9+Q9+R9,0)))</f>
        <v>65242.4849509753</v>
      </c>
      <c r="T10" s="65" t="n">
        <f aca="false">IF(T$5="A",Inputs_Actuals!T311,IF(Assumptions!T$213=1,S9,IF(Assumptions!T$212=1,Q9+R9+S9,0)))</f>
        <v>65421.5103807766</v>
      </c>
      <c r="U10" s="65" t="n">
        <f aca="false">IF(U$5="A",Inputs_Actuals!U311,IF(Assumptions!U$213=1,T9,IF(Assumptions!U$212=1,R9+S9+T9,0)))</f>
        <v>66196.9481105873</v>
      </c>
      <c r="V10" s="65" t="n">
        <f aca="false">IF(V$5="A",Inputs_Actuals!V311,IF(Assumptions!V$213=1,U9,IF(Assumptions!V$212=1,S9+T9+U9,0)))</f>
        <v>66868.7229478123</v>
      </c>
      <c r="W10" s="65" t="n">
        <f aca="false">IF(W$5="A",Inputs_Actuals!W311,IF(Assumptions!W$213=1,V9,IF(Assumptions!W$212=1,T9+U9+V9,0)))</f>
        <v>130215.813378158</v>
      </c>
      <c r="X10" s="65" t="n">
        <f aca="false">IF(X$5="A",Inputs_Actuals!X311,IF(Assumptions!X$213=1,W9,IF(Assumptions!X$212=1,U9+V9+W9,0)))</f>
        <v>66896.2210039684</v>
      </c>
      <c r="Y10" s="65" t="n">
        <f aca="false">IF(Y$5="A",Inputs_Actuals!Y311,IF(Assumptions!Y$213=1,X9,IF(Assumptions!Y$212=1,V9+W9+X9,0)))</f>
        <v>66829.3464517114</v>
      </c>
      <c r="Z10" s="65" t="n">
        <f aca="false">IF(Z$5="A",Inputs_Actuals!Z311,IF(Assumptions!Z$213=1,Y9,IF(Assumptions!Z$212=1,W9+X9+Y9,0)))</f>
        <v>67192.647910668</v>
      </c>
      <c r="AA10" s="65" t="n">
        <f aca="false">IF(AA$5="A",Inputs_Actuals!AA311,IF(Assumptions!AA$213=1,Z9,IF(Assumptions!AA$212=1,X9+Y9+Z9,0)))</f>
        <v>67666.9566438286</v>
      </c>
      <c r="AB10" s="65" t="n">
        <f aca="false">IF(AB$5="A",Inputs_Actuals!AB311,IF(Assumptions!AB$213=1,AA9,IF(Assumptions!AB$212=1,Y9+Z9+AA9,0)))</f>
        <v>67628.2367809659</v>
      </c>
    </row>
    <row r="11" customFormat="false" ht="15" hidden="false" customHeight="false" outlineLevel="0" collapsed="false">
      <c r="A11" s="59" t="s">
        <v>1417</v>
      </c>
      <c r="B11" s="60"/>
      <c r="C11" s="61" t="n">
        <f aca="false">P11</f>
        <v>227604.609866051</v>
      </c>
      <c r="D11" s="61" t="n">
        <f aca="false">AB11</f>
        <v>133000.217165887</v>
      </c>
      <c r="E11" s="62" t="n">
        <f aca="false">Inputs_Actuals!$C$334+E9-E10</f>
        <v>52878.7324</v>
      </c>
      <c r="F11" s="61" t="n">
        <f aca="false">E11+F9-F10</f>
        <v>108343.425</v>
      </c>
      <c r="G11" s="61" t="n">
        <f aca="false">F11+G9-G10</f>
        <v>163794.2888</v>
      </c>
      <c r="H11" s="61" t="n">
        <f aca="false">G11+H9-H10</f>
        <v>57240.6076</v>
      </c>
      <c r="I11" s="61" t="n">
        <f aca="false">H11+I9-I10</f>
        <v>117073.4512</v>
      </c>
      <c r="J11" s="61" t="n">
        <f aca="false">I11+J9-J10</f>
        <v>229394.7378</v>
      </c>
      <c r="K11" s="61" t="n">
        <f aca="false">J11+K9-K10</f>
        <v>57573.084</v>
      </c>
      <c r="L11" s="61" t="n">
        <f aca="false">K11+L9-L10</f>
        <v>115547.0464</v>
      </c>
      <c r="M11" s="61" t="n">
        <f aca="false">L11+M9-M10</f>
        <v>172254.879380952</v>
      </c>
      <c r="N11" s="61" t="n">
        <f aca="false">M11+N9-N10</f>
        <v>56596.1914421811</v>
      </c>
      <c r="O11" s="61" t="n">
        <f aca="false">N11+O9-O10</f>
        <v>113742.76534012</v>
      </c>
      <c r="P11" s="61" t="n">
        <f aca="false">O11+P9-P10</f>
        <v>227604.609866051</v>
      </c>
      <c r="Q11" s="61" t="n">
        <f aca="false">P11+Q9-Q10</f>
        <v>65049.1776002375</v>
      </c>
      <c r="R11" s="61" t="n">
        <f aca="false">Q11+R9-R10</f>
        <v>65242.4927509753</v>
      </c>
      <c r="S11" s="61" t="n">
        <f aca="false">R11+S9-S10</f>
        <v>65421.5181807766</v>
      </c>
      <c r="T11" s="61" t="n">
        <f aca="false">S11+T9-T10</f>
        <v>66196.9559105873</v>
      </c>
      <c r="U11" s="61" t="n">
        <f aca="false">T11+U9-U10</f>
        <v>66868.7307478122</v>
      </c>
      <c r="V11" s="61" t="n">
        <f aca="false">U11+V9-V10</f>
        <v>130215.821178158</v>
      </c>
      <c r="W11" s="61" t="n">
        <f aca="false">V11+W9-W10</f>
        <v>66896.2288039684</v>
      </c>
      <c r="X11" s="61" t="n">
        <f aca="false">W11+X9-X10</f>
        <v>66829.3542517114</v>
      </c>
      <c r="Y11" s="61" t="n">
        <f aca="false">X11+Y9-Y10</f>
        <v>67192.655710668</v>
      </c>
      <c r="Z11" s="61" t="n">
        <f aca="false">Y11+Z9-Z10</f>
        <v>67666.9644438286</v>
      </c>
      <c r="AA11" s="61" t="n">
        <f aca="false">Z11+AA9-AA10</f>
        <v>67628.2445809659</v>
      </c>
      <c r="AB11" s="61" t="n">
        <f aca="false">AA11+AB9-AB10</f>
        <v>133000.217165887</v>
      </c>
    </row>
    <row r="12" customFormat="false" ht="15" hidden="false" customHeight="false" outlineLevel="0" collapsed="false">
      <c r="A12" s="28" t="s">
        <v>1418</v>
      </c>
      <c r="B12" s="63" t="s">
        <v>1410</v>
      </c>
      <c r="C12" s="64" t="n">
        <f aca="false">P12</f>
        <v>227604.602066051</v>
      </c>
      <c r="D12" s="64" t="n">
        <f aca="false">AB12</f>
        <v>133000.209365887</v>
      </c>
      <c r="E12" s="74" t="n">
        <f aca="false">E9</f>
        <v>52878.7324</v>
      </c>
      <c r="F12" s="74" t="n">
        <f aca="false">E9+F9</f>
        <v>108343.425</v>
      </c>
      <c r="G12" s="74" t="n">
        <f aca="false">E9+F9+G9</f>
        <v>163794.2888</v>
      </c>
      <c r="H12" s="74" t="n">
        <f aca="false">H9</f>
        <v>57240.5988</v>
      </c>
      <c r="I12" s="74" t="n">
        <f aca="false">H9+I9</f>
        <v>117073.4424</v>
      </c>
      <c r="J12" s="74" t="n">
        <f aca="false">H9+I9+J9</f>
        <v>229394.729</v>
      </c>
      <c r="K12" s="74" t="n">
        <f aca="false">K9</f>
        <v>57573.0762</v>
      </c>
      <c r="L12" s="74" t="n">
        <f aca="false">K9+L9</f>
        <v>115547.0386</v>
      </c>
      <c r="M12" s="74" t="n">
        <f aca="false">K9+L9+M9</f>
        <v>172254.871580952</v>
      </c>
      <c r="N12" s="74" t="n">
        <f aca="false">N9</f>
        <v>56596.1836421811</v>
      </c>
      <c r="O12" s="74" t="n">
        <f aca="false">N9+O9</f>
        <v>113742.75754012</v>
      </c>
      <c r="P12" s="74" t="n">
        <f aca="false">N9+O9+P9</f>
        <v>227604.602066051</v>
      </c>
      <c r="Q12" s="65" t="n">
        <f aca="false">IF(Assumptions!Q$213=1,Q9,Q9)</f>
        <v>65049.1698002375</v>
      </c>
      <c r="R12" s="65" t="n">
        <f aca="false">IF(Assumptions!R$213=1,R9,Q9+R9)</f>
        <v>65242.4849509753</v>
      </c>
      <c r="S12" s="65" t="n">
        <f aca="false">IF(Assumptions!S$213=1,S9,Q9+R9+S9)</f>
        <v>65421.5103807766</v>
      </c>
      <c r="T12" s="65" t="n">
        <f aca="false">IF(Assumptions!T$213=1,T9,T9)</f>
        <v>66196.9481105873</v>
      </c>
      <c r="U12" s="65" t="n">
        <f aca="false">IF(Assumptions!U$213=1,U9,T9+U9)</f>
        <v>66868.7229478123</v>
      </c>
      <c r="V12" s="65" t="n">
        <f aca="false">IF(Assumptions!V$213=1,V9,T9+U9+V9)</f>
        <v>130215.813378158</v>
      </c>
      <c r="W12" s="65" t="n">
        <f aca="false">IF(Assumptions!W$213=1,W9,W9)</f>
        <v>66896.2210039684</v>
      </c>
      <c r="X12" s="65" t="n">
        <f aca="false">IF(Assumptions!X$213=1,X9,W9+X9)</f>
        <v>66829.3464517114</v>
      </c>
      <c r="Y12" s="65" t="n">
        <f aca="false">IF(Assumptions!Y$213=1,Y9,W9+X9+Y9)</f>
        <v>67192.647910668</v>
      </c>
      <c r="Z12" s="65" t="n">
        <f aca="false">IF(Assumptions!Z$213=1,Z9,Z9)</f>
        <v>67666.9566438286</v>
      </c>
      <c r="AA12" s="65" t="n">
        <f aca="false">IF(Assumptions!AA$213=1,AA9,Z9+AA9)</f>
        <v>67628.2367809659</v>
      </c>
      <c r="AB12" s="65" t="n">
        <f aca="false">IF(Assumptions!AB$213=1,AB9,Z9+AA9+AB9)</f>
        <v>133000.209365887</v>
      </c>
    </row>
    <row r="13" customFormat="false" ht="15" hidden="false" customHeight="false" outlineLevel="0" collapsed="false">
      <c r="A13" s="28" t="s">
        <v>1419</v>
      </c>
      <c r="B13" s="63"/>
      <c r="C13" s="64" t="n">
        <f aca="false">SUM(E13:P13)</f>
        <v>0</v>
      </c>
      <c r="D13" s="64" t="n">
        <f aca="false">SUM(Q13:AB13)</f>
        <v>0</v>
      </c>
      <c r="E13" s="74" t="n">
        <f aca="false">ROUND(E11-E12,0)</f>
        <v>0</v>
      </c>
      <c r="F13" s="74" t="n">
        <f aca="false">ROUND(F11-F12,0)</f>
        <v>0</v>
      </c>
      <c r="G13" s="74" t="n">
        <f aca="false">ROUND(G11-G12,0)</f>
        <v>0</v>
      </c>
      <c r="H13" s="74" t="n">
        <f aca="false">ROUND(H11-H12,0)</f>
        <v>0</v>
      </c>
      <c r="I13" s="74" t="n">
        <f aca="false">ROUND(I11-I12,0)</f>
        <v>0</v>
      </c>
      <c r="J13" s="74" t="n">
        <f aca="false">ROUND(J11-J12,0)</f>
        <v>0</v>
      </c>
      <c r="K13" s="74" t="n">
        <f aca="false">ROUND(K11-K12,0)</f>
        <v>0</v>
      </c>
      <c r="L13" s="74" t="n">
        <f aca="false">ROUND(L11-L12,0)</f>
        <v>0</v>
      </c>
      <c r="M13" s="74" t="n">
        <f aca="false">ROUND(M11-M12,0)</f>
        <v>0</v>
      </c>
      <c r="N13" s="74" t="n">
        <f aca="false">ROUND(N11-N12,0)</f>
        <v>0</v>
      </c>
      <c r="O13" s="74" t="n">
        <f aca="false">ROUND(O11-O12,0)</f>
        <v>0</v>
      </c>
      <c r="P13" s="74" t="n">
        <f aca="false">ROUND(P11-P12,0)</f>
        <v>0</v>
      </c>
      <c r="Q13" s="74" t="n">
        <f aca="false">ROUND(Q11-Q12,0)</f>
        <v>0</v>
      </c>
      <c r="R13" s="74" t="n">
        <f aca="false">ROUND(R11-R12,0)</f>
        <v>0</v>
      </c>
      <c r="S13" s="74" t="n">
        <f aca="false">ROUND(S11-S12,0)</f>
        <v>0</v>
      </c>
      <c r="T13" s="74" t="n">
        <f aca="false">ROUND(T11-T12,0)</f>
        <v>0</v>
      </c>
      <c r="U13" s="74" t="n">
        <f aca="false">ROUND(U11-U12,0)</f>
        <v>0</v>
      </c>
      <c r="V13" s="74" t="n">
        <f aca="false">ROUND(V11-V12,0)</f>
        <v>0</v>
      </c>
      <c r="W13" s="74" t="n">
        <f aca="false">ROUND(W11-W12,0)</f>
        <v>0</v>
      </c>
      <c r="X13" s="74" t="n">
        <f aca="false">ROUND(X11-X12,0)</f>
        <v>0</v>
      </c>
      <c r="Y13" s="74" t="n">
        <f aca="false">ROUND(Y11-Y12,0)</f>
        <v>0</v>
      </c>
      <c r="Z13" s="74" t="n">
        <f aca="false">ROUND(Z11-Z12,0)</f>
        <v>0</v>
      </c>
      <c r="AA13" s="74" t="n">
        <f aca="false">ROUND(AA11-AA12,0)</f>
        <v>0</v>
      </c>
      <c r="AB13" s="74" t="n">
        <f aca="false">ROUND(AB11-AB12,0)</f>
        <v>0</v>
      </c>
    </row>
    <row r="14" customFormat="false" ht="15" hidden="false" customHeight="false" outlineLevel="0" collapsed="false">
      <c r="A14" s="22" t="s">
        <v>1420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row>
    <row r="15" customFormat="false" ht="15" hidden="false" customHeight="false" outlineLevel="0" collapsed="false">
      <c r="A15" s="28" t="s">
        <v>1416</v>
      </c>
      <c r="B15" s="63" t="s">
        <v>76</v>
      </c>
      <c r="C15" s="64" t="n">
        <f aca="false">SUM(E15:P15)</f>
        <v>35340</v>
      </c>
      <c r="D15" s="64" t="n">
        <f aca="false">SUM(Q15:AB15)</f>
        <v>36400.2</v>
      </c>
      <c r="E15" s="65" t="n">
        <f aca="false">Overheads!E23</f>
        <v>2945</v>
      </c>
      <c r="F15" s="65" t="n">
        <f aca="false">Overheads!F23</f>
        <v>2945</v>
      </c>
      <c r="G15" s="65" t="n">
        <f aca="false">Overheads!G23</f>
        <v>2945</v>
      </c>
      <c r="H15" s="65" t="n">
        <f aca="false">Overheads!H23</f>
        <v>2945</v>
      </c>
      <c r="I15" s="65" t="n">
        <f aca="false">Overheads!I23</f>
        <v>2945</v>
      </c>
      <c r="J15" s="65" t="n">
        <f aca="false">Overheads!J23</f>
        <v>2945</v>
      </c>
      <c r="K15" s="65" t="n">
        <f aca="false">Overheads!K23</f>
        <v>2945</v>
      </c>
      <c r="L15" s="65" t="n">
        <f aca="false">Overheads!L23</f>
        <v>2945</v>
      </c>
      <c r="M15" s="65" t="n">
        <f aca="false">Overheads!M23</f>
        <v>2945</v>
      </c>
      <c r="N15" s="65" t="n">
        <f aca="false">Overheads!N23</f>
        <v>2945</v>
      </c>
      <c r="O15" s="65" t="n">
        <f aca="false">Overheads!O23</f>
        <v>2945</v>
      </c>
      <c r="P15" s="65" t="n">
        <f aca="false">Overheads!P23</f>
        <v>2945</v>
      </c>
      <c r="Q15" s="65" t="n">
        <f aca="false">Overheads!Q23</f>
        <v>3033.35</v>
      </c>
      <c r="R15" s="65" t="n">
        <f aca="false">Overheads!R23</f>
        <v>3033.35</v>
      </c>
      <c r="S15" s="65" t="n">
        <f aca="false">Overheads!S23</f>
        <v>3033.35</v>
      </c>
      <c r="T15" s="65" t="n">
        <f aca="false">Overheads!T23</f>
        <v>3033.35</v>
      </c>
      <c r="U15" s="65" t="n">
        <f aca="false">Overheads!U23</f>
        <v>3033.35</v>
      </c>
      <c r="V15" s="65" t="n">
        <f aca="false">Overheads!V23</f>
        <v>3033.35</v>
      </c>
      <c r="W15" s="65" t="n">
        <f aca="false">Overheads!W23</f>
        <v>3033.35</v>
      </c>
      <c r="X15" s="65" t="n">
        <f aca="false">Overheads!X23</f>
        <v>3033.35</v>
      </c>
      <c r="Y15" s="65" t="n">
        <f aca="false">Overheads!Y23</f>
        <v>3033.35</v>
      </c>
      <c r="Z15" s="65" t="n">
        <f aca="false">Overheads!Z23</f>
        <v>3033.35</v>
      </c>
      <c r="AA15" s="65" t="n">
        <f aca="false">Overheads!AA23</f>
        <v>3033.35</v>
      </c>
      <c r="AB15" s="65" t="n">
        <f aca="false">Overheads!AB23</f>
        <v>3033.35</v>
      </c>
    </row>
    <row r="16" customFormat="false" ht="15" hidden="false" customHeight="false" outlineLevel="0" collapsed="false">
      <c r="A16" s="28" t="s">
        <v>1389</v>
      </c>
      <c r="B16" s="63" t="s">
        <v>1407</v>
      </c>
      <c r="C16" s="64" t="n">
        <f aca="false">SUM(E16:P16)</f>
        <v>35055</v>
      </c>
      <c r="D16" s="64" t="n">
        <f aca="false">SUM(Q16:AB16)</f>
        <v>42201.85</v>
      </c>
      <c r="E16" s="65" t="n">
        <f aca="false">IF(E$5="A",Inputs_Actuals!E312,IF(Assumptions!E$212=1,Inputs_Actuals!$C$335,0))</f>
        <v>8550</v>
      </c>
      <c r="F16" s="65" t="n">
        <f aca="false">IF(F$5="A",Inputs_Actuals!F312,IF(Assumptions!F$212=1,0,0))</f>
        <v>0</v>
      </c>
      <c r="G16" s="65" t="n">
        <f aca="false">IF(G$5="A",Inputs_Actuals!G312,IF(Assumptions!G$212=1,0,0))</f>
        <v>0</v>
      </c>
      <c r="H16" s="65" t="n">
        <f aca="false">IF(H$5="A",Inputs_Actuals!H312,IF(Assumptions!H$212=1,E15+F15+G15,0))</f>
        <v>8835</v>
      </c>
      <c r="I16" s="65" t="n">
        <f aca="false">IF(I$5="A",Inputs_Actuals!I312,IF(Assumptions!I$212=1,F15+G15+H15,0))</f>
        <v>0</v>
      </c>
      <c r="J16" s="65" t="n">
        <f aca="false">IF(J$5="A",Inputs_Actuals!J312,IF(Assumptions!J$212=1,G15+H15+I15,0))</f>
        <v>0</v>
      </c>
      <c r="K16" s="65" t="n">
        <f aca="false">IF(K$5="A",Inputs_Actuals!K312,IF(Assumptions!K$212=1,H15+I15+J15,0))</f>
        <v>8835</v>
      </c>
      <c r="L16" s="65" t="n">
        <f aca="false">IF(L$5="A",Inputs_Actuals!L312,IF(Assumptions!L$212=1,I15+J15+K15,0))</f>
        <v>0</v>
      </c>
      <c r="M16" s="65" t="n">
        <f aca="false">IF(M$5="A",Inputs_Actuals!M312,IF(Assumptions!M$212=1,J15+K15+L15,0))</f>
        <v>0</v>
      </c>
      <c r="N16" s="65" t="n">
        <f aca="false">IF(N$5="A",Inputs_Actuals!N312,IF(Assumptions!N$212=1,K15+L15+M15,0))</f>
        <v>8835</v>
      </c>
      <c r="O16" s="65" t="n">
        <f aca="false">IF(O$5="A",Inputs_Actuals!O312,IF(Assumptions!O$212=1,L15+M15+N15,0))</f>
        <v>0</v>
      </c>
      <c r="P16" s="65" t="n">
        <f aca="false">IF(P$5="A",Inputs_Actuals!P312,IF(Assumptions!P$212=1,M15+N15+O15,0))</f>
        <v>0</v>
      </c>
      <c r="Q16" s="65" t="n">
        <f aca="false">IF(Q$5="A",Inputs_Actuals!Q312,IF(Assumptions!Q$213=1,N15+O15+P15,IF(Assumptions!Q$212=1,N15+O15+P15,0)))</f>
        <v>8835</v>
      </c>
      <c r="R16" s="65" t="n">
        <f aca="false">IF(R$5="A",Inputs_Actuals!R312,IF(Assumptions!R$213=1,Q15,IF(Assumptions!R$212=1,O15+P15+Q15,0)))</f>
        <v>3033.35</v>
      </c>
      <c r="S16" s="65" t="n">
        <f aca="false">IF(S$5="A",Inputs_Actuals!S312,IF(Assumptions!S$213=1,R15,IF(Assumptions!S$212=1,P15+Q15+R15,0)))</f>
        <v>3033.35</v>
      </c>
      <c r="T16" s="65" t="n">
        <f aca="false">IF(T$5="A",Inputs_Actuals!T312,IF(Assumptions!T$213=1,S15,IF(Assumptions!T$212=1,Q15+R15+S15,0)))</f>
        <v>3033.35</v>
      </c>
      <c r="U16" s="65" t="n">
        <f aca="false">IF(U$5="A",Inputs_Actuals!U312,IF(Assumptions!U$213=1,T15,IF(Assumptions!U$212=1,R15+S15+T15,0)))</f>
        <v>3033.35</v>
      </c>
      <c r="V16" s="65" t="n">
        <f aca="false">IF(V$5="A",Inputs_Actuals!V312,IF(Assumptions!V$213=1,U15,IF(Assumptions!V$212=1,S15+T15+U15,0)))</f>
        <v>3033.35</v>
      </c>
      <c r="W16" s="65" t="n">
        <f aca="false">IF(W$5="A",Inputs_Actuals!W312,IF(Assumptions!W$213=1,V15,IF(Assumptions!W$212=1,T15+U15+V15,0)))</f>
        <v>3033.35</v>
      </c>
      <c r="X16" s="65" t="n">
        <f aca="false">IF(X$5="A",Inputs_Actuals!X312,IF(Assumptions!X$213=1,W15,IF(Assumptions!X$212=1,U15+V15+W15,0)))</f>
        <v>3033.35</v>
      </c>
      <c r="Y16" s="65" t="n">
        <f aca="false">IF(Y$5="A",Inputs_Actuals!Y312,IF(Assumptions!Y$213=1,X15,IF(Assumptions!Y$212=1,V15+W15+X15,0)))</f>
        <v>3033.35</v>
      </c>
      <c r="Z16" s="65" t="n">
        <f aca="false">IF(Z$5="A",Inputs_Actuals!Z312,IF(Assumptions!Z$213=1,Y15,IF(Assumptions!Z$212=1,W15+X15+Y15,0)))</f>
        <v>3033.35</v>
      </c>
      <c r="AA16" s="65" t="n">
        <f aca="false">IF(AA$5="A",Inputs_Actuals!AA312,IF(Assumptions!AA$213=1,Z15,IF(Assumptions!AA$212=1,X15+Y15+Z15,0)))</f>
        <v>3033.35</v>
      </c>
      <c r="AB16" s="65" t="n">
        <f aca="false">IF(AB$5="A",Inputs_Actuals!AB312,IF(Assumptions!AB$213=1,AA15,IF(Assumptions!AB$212=1,Y15+Z15+AA15,0)))</f>
        <v>3033.35</v>
      </c>
    </row>
    <row r="17" customFormat="false" ht="15" hidden="false" customHeight="false" outlineLevel="0" collapsed="false">
      <c r="A17" s="59" t="s">
        <v>1421</v>
      </c>
      <c r="B17" s="60"/>
      <c r="C17" s="61" t="n">
        <f aca="false">P17</f>
        <v>8835</v>
      </c>
      <c r="D17" s="61" t="n">
        <f aca="false">AB17</f>
        <v>3033.35</v>
      </c>
      <c r="E17" s="62" t="n">
        <f aca="false">Inputs_Actuals!$C$335+E15-E16</f>
        <v>2945</v>
      </c>
      <c r="F17" s="61" t="n">
        <f aca="false">E17+F15-F16</f>
        <v>5890</v>
      </c>
      <c r="G17" s="61" t="n">
        <f aca="false">F17+G15-G16</f>
        <v>8835</v>
      </c>
      <c r="H17" s="61" t="n">
        <f aca="false">G17+H15-H16</f>
        <v>2945</v>
      </c>
      <c r="I17" s="61" t="n">
        <f aca="false">H17+I15-I16</f>
        <v>5890</v>
      </c>
      <c r="J17" s="61" t="n">
        <f aca="false">I17+J15-J16</f>
        <v>8835</v>
      </c>
      <c r="K17" s="61" t="n">
        <f aca="false">J17+K15-K16</f>
        <v>2945</v>
      </c>
      <c r="L17" s="61" t="n">
        <f aca="false">K17+L15-L16</f>
        <v>5890</v>
      </c>
      <c r="M17" s="61" t="n">
        <f aca="false">L17+M15-M16</f>
        <v>8835</v>
      </c>
      <c r="N17" s="61" t="n">
        <f aca="false">M17+N15-N16</f>
        <v>2945</v>
      </c>
      <c r="O17" s="61" t="n">
        <f aca="false">N17+O15-O16</f>
        <v>5890</v>
      </c>
      <c r="P17" s="61" t="n">
        <f aca="false">O17+P15-P16</f>
        <v>8835</v>
      </c>
      <c r="Q17" s="61" t="n">
        <f aca="false">P17+Q15-Q16</f>
        <v>3033.35</v>
      </c>
      <c r="R17" s="61" t="n">
        <f aca="false">Q17+R15-R16</f>
        <v>3033.35</v>
      </c>
      <c r="S17" s="61" t="n">
        <f aca="false">R17+S15-S16</f>
        <v>3033.35</v>
      </c>
      <c r="T17" s="61" t="n">
        <f aca="false">S17+T15-T16</f>
        <v>3033.35</v>
      </c>
      <c r="U17" s="61" t="n">
        <f aca="false">T17+U15-U16</f>
        <v>3033.35</v>
      </c>
      <c r="V17" s="61" t="n">
        <f aca="false">U17+V15-V16</f>
        <v>3033.35</v>
      </c>
      <c r="W17" s="61" t="n">
        <f aca="false">V17+W15-W16</f>
        <v>3033.35</v>
      </c>
      <c r="X17" s="61" t="n">
        <f aca="false">W17+X15-X16</f>
        <v>3033.35</v>
      </c>
      <c r="Y17" s="61" t="n">
        <f aca="false">X17+Y15-Y16</f>
        <v>3033.35</v>
      </c>
      <c r="Z17" s="61" t="n">
        <f aca="false">Y17+Z15-Z16</f>
        <v>3033.35</v>
      </c>
      <c r="AA17" s="61" t="n">
        <f aca="false">Z17+AA15-AA16</f>
        <v>3033.35</v>
      </c>
      <c r="AB17" s="61" t="n">
        <f aca="false">AA17+AB15-AB16</f>
        <v>3033.35</v>
      </c>
    </row>
    <row r="18" customFormat="false" ht="15" hidden="false" customHeight="false" outlineLevel="0" collapsed="false">
      <c r="A18" s="28" t="s">
        <v>1418</v>
      </c>
      <c r="B18" s="63" t="s">
        <v>1410</v>
      </c>
      <c r="C18" s="64" t="n">
        <f aca="false">P18</f>
        <v>8835</v>
      </c>
      <c r="D18" s="64" t="n">
        <f aca="false">AB18</f>
        <v>3033.35</v>
      </c>
      <c r="E18" s="74" t="n">
        <f aca="false">E15</f>
        <v>2945</v>
      </c>
      <c r="F18" s="74" t="n">
        <f aca="false">E15+F15</f>
        <v>5890</v>
      </c>
      <c r="G18" s="74" t="n">
        <f aca="false">E15+F15+G15</f>
        <v>8835</v>
      </c>
      <c r="H18" s="74" t="n">
        <f aca="false">H15</f>
        <v>2945</v>
      </c>
      <c r="I18" s="74" t="n">
        <f aca="false">H15+I15</f>
        <v>5890</v>
      </c>
      <c r="J18" s="74" t="n">
        <f aca="false">H15+I15+J15</f>
        <v>8835</v>
      </c>
      <c r="K18" s="74" t="n">
        <f aca="false">K15</f>
        <v>2945</v>
      </c>
      <c r="L18" s="74" t="n">
        <f aca="false">K15+L15</f>
        <v>5890</v>
      </c>
      <c r="M18" s="74" t="n">
        <f aca="false">K15+L15+M15</f>
        <v>8835</v>
      </c>
      <c r="N18" s="74" t="n">
        <f aca="false">N15</f>
        <v>2945</v>
      </c>
      <c r="O18" s="74" t="n">
        <f aca="false">N15+O15</f>
        <v>5890</v>
      </c>
      <c r="P18" s="74" t="n">
        <f aca="false">N15+O15+P15</f>
        <v>8835</v>
      </c>
      <c r="Q18" s="65" t="n">
        <f aca="false">IF(Assumptions!Q$213=1,Q15,Q15)</f>
        <v>3033.35</v>
      </c>
      <c r="R18" s="65" t="n">
        <f aca="false">IF(Assumptions!R$213=1,R15,Q15+R15)</f>
        <v>3033.35</v>
      </c>
      <c r="S18" s="65" t="n">
        <f aca="false">IF(Assumptions!S$213=1,S15,Q15+R15+S15)</f>
        <v>3033.35</v>
      </c>
      <c r="T18" s="65" t="n">
        <f aca="false">IF(Assumptions!T$213=1,T15,T15)</f>
        <v>3033.35</v>
      </c>
      <c r="U18" s="65" t="n">
        <f aca="false">IF(Assumptions!U$213=1,U15,T15+U15)</f>
        <v>3033.35</v>
      </c>
      <c r="V18" s="65" t="n">
        <f aca="false">IF(Assumptions!V$213=1,V15,T15+U15+V15)</f>
        <v>3033.35</v>
      </c>
      <c r="W18" s="65" t="n">
        <f aca="false">IF(Assumptions!W$213=1,W15,W15)</f>
        <v>3033.35</v>
      </c>
      <c r="X18" s="65" t="n">
        <f aca="false">IF(Assumptions!X$213=1,X15,W15+X15)</f>
        <v>3033.35</v>
      </c>
      <c r="Y18" s="65" t="n">
        <f aca="false">IF(Assumptions!Y$213=1,Y15,W15+X15+Y15)</f>
        <v>3033.35</v>
      </c>
      <c r="Z18" s="65" t="n">
        <f aca="false">IF(Assumptions!Z$213=1,Z15,Z15)</f>
        <v>3033.35</v>
      </c>
      <c r="AA18" s="65" t="n">
        <f aca="false">IF(Assumptions!AA$213=1,AA15,Z15+AA15)</f>
        <v>3033.35</v>
      </c>
      <c r="AB18" s="65" t="n">
        <f aca="false">IF(Assumptions!AB$213=1,AB15,Z15+AA15+AB15)</f>
        <v>3033.35</v>
      </c>
    </row>
    <row r="19" customFormat="false" ht="15" hidden="false" customHeight="false" outlineLevel="0" collapsed="false">
      <c r="A19" s="28" t="s">
        <v>1419</v>
      </c>
      <c r="B19" s="63"/>
      <c r="C19" s="64" t="n">
        <f aca="false">SUM(E19:P19)</f>
        <v>0</v>
      </c>
      <c r="D19" s="64" t="n">
        <f aca="false">SUM(Q19:AB19)</f>
        <v>0</v>
      </c>
      <c r="E19" s="74" t="n">
        <f aca="false">ROUND(E17-E18,0)</f>
        <v>0</v>
      </c>
      <c r="F19" s="74" t="n">
        <f aca="false">ROUND(F17-F18,0)</f>
        <v>0</v>
      </c>
      <c r="G19" s="74" t="n">
        <f aca="false">ROUND(G17-G18,0)</f>
        <v>0</v>
      </c>
      <c r="H19" s="74" t="n">
        <f aca="false">ROUND(H17-H18,0)</f>
        <v>0</v>
      </c>
      <c r="I19" s="74" t="n">
        <f aca="false">ROUND(I17-I18,0)</f>
        <v>0</v>
      </c>
      <c r="J19" s="74" t="n">
        <f aca="false">ROUND(J17-J18,0)</f>
        <v>0</v>
      </c>
      <c r="K19" s="74" t="n">
        <f aca="false">ROUND(K17-K18,0)</f>
        <v>0</v>
      </c>
      <c r="L19" s="74" t="n">
        <f aca="false">ROUND(L17-L18,0)</f>
        <v>0</v>
      </c>
      <c r="M19" s="74" t="n">
        <f aca="false">ROUND(M17-M18,0)</f>
        <v>0</v>
      </c>
      <c r="N19" s="74" t="n">
        <f aca="false">ROUND(N17-N18,0)</f>
        <v>0</v>
      </c>
      <c r="O19" s="74" t="n">
        <f aca="false">ROUND(O17-O18,0)</f>
        <v>0</v>
      </c>
      <c r="P19" s="74" t="n">
        <f aca="false">ROUND(P17-P18,0)</f>
        <v>0</v>
      </c>
      <c r="Q19" s="74" t="n">
        <f aca="false">ROUND(Q17-Q18,0)</f>
        <v>0</v>
      </c>
      <c r="R19" s="74" t="n">
        <f aca="false">ROUND(R17-R18,0)</f>
        <v>0</v>
      </c>
      <c r="S19" s="74" t="n">
        <f aca="false">ROUND(S17-S18,0)</f>
        <v>0</v>
      </c>
      <c r="T19" s="74" t="n">
        <f aca="false">ROUND(T17-T18,0)</f>
        <v>0</v>
      </c>
      <c r="U19" s="74" t="n">
        <f aca="false">ROUND(U17-U18,0)</f>
        <v>0</v>
      </c>
      <c r="V19" s="74" t="n">
        <f aca="false">ROUND(V17-V18,0)</f>
        <v>0</v>
      </c>
      <c r="W19" s="74" t="n">
        <f aca="false">ROUND(W17-W18,0)</f>
        <v>0</v>
      </c>
      <c r="X19" s="74" t="n">
        <f aca="false">ROUND(X17-X18,0)</f>
        <v>0</v>
      </c>
      <c r="Y19" s="74" t="n">
        <f aca="false">ROUND(Y17-Y18,0)</f>
        <v>0</v>
      </c>
      <c r="Z19" s="74" t="n">
        <f aca="false">ROUND(Z17-Z18,0)</f>
        <v>0</v>
      </c>
      <c r="AA19" s="74" t="n">
        <f aca="false">ROUND(AA17-AA18,0)</f>
        <v>0</v>
      </c>
      <c r="AB19" s="74" t="n">
        <f aca="false">ROUND(AB17-AB18,0)</f>
        <v>0</v>
      </c>
    </row>
    <row r="20" customFormat="false" ht="15" hidden="false" customHeight="false" outlineLevel="0" collapsed="false">
      <c r="A20" s="22" t="s">
        <v>1422</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row>
    <row r="21" customFormat="false" ht="15" hidden="false" customHeight="false" outlineLevel="0" collapsed="false">
      <c r="A21" s="28" t="s">
        <v>1423</v>
      </c>
      <c r="B21" s="63" t="s">
        <v>31</v>
      </c>
      <c r="C21" s="64" t="n">
        <f aca="false">SUM(E21:P21)</f>
        <v>-1442797.7644793</v>
      </c>
      <c r="D21" s="64" t="n">
        <f aca="false">SUM(Q21:AB21)</f>
        <v>-984211.489788988</v>
      </c>
      <c r="E21" s="65" t="n">
        <f aca="false">PL!E48</f>
        <v>-140271.721398643</v>
      </c>
      <c r="F21" s="65" t="n">
        <f aca="false">PL!F48</f>
        <v>-155479.7192802</v>
      </c>
      <c r="G21" s="65" t="n">
        <f aca="false">PL!G48</f>
        <v>-167005.242257596</v>
      </c>
      <c r="H21" s="65" t="n">
        <f aca="false">PL!H48</f>
        <v>-136165.582202276</v>
      </c>
      <c r="I21" s="65" t="n">
        <f aca="false">PL!I48</f>
        <v>-153482.93229223</v>
      </c>
      <c r="J21" s="65" t="n">
        <f aca="false">PL!J48</f>
        <v>-146323.330418288</v>
      </c>
      <c r="K21" s="65" t="n">
        <f aca="false">PL!K48</f>
        <v>-117745.897074694</v>
      </c>
      <c r="L21" s="65" t="n">
        <f aca="false">PL!L48</f>
        <v>-87331.3154772148</v>
      </c>
      <c r="M21" s="65" t="n">
        <f aca="false">PL!M48</f>
        <v>-95605.133006352</v>
      </c>
      <c r="N21" s="65" t="n">
        <f aca="false">PL!N48</f>
        <v>-86325.6881926724</v>
      </c>
      <c r="O21" s="65" t="n">
        <f aca="false">PL!O48</f>
        <v>-86617.4556561846</v>
      </c>
      <c r="P21" s="65" t="n">
        <f aca="false">PL!P48</f>
        <v>-70443.7472229445</v>
      </c>
      <c r="Q21" s="65" t="n">
        <f aca="false">PL!Q48</f>
        <v>-151955.379287712</v>
      </c>
      <c r="R21" s="65" t="n">
        <f aca="false">PL!R48</f>
        <v>-105601.429701614</v>
      </c>
      <c r="S21" s="65" t="n">
        <f aca="false">PL!S48</f>
        <v>-130284.517145856</v>
      </c>
      <c r="T21" s="65" t="n">
        <f aca="false">PL!T48</f>
        <v>-95530.852478328</v>
      </c>
      <c r="U21" s="65" t="n">
        <f aca="false">PL!U48</f>
        <v>-121722.391361955</v>
      </c>
      <c r="V21" s="65" t="n">
        <f aca="false">PL!V48</f>
        <v>-80999.9874662168</v>
      </c>
      <c r="W21" s="65" t="n">
        <f aca="false">PL!W48</f>
        <v>-73368.2341903189</v>
      </c>
      <c r="X21" s="65" t="n">
        <f aca="false">PL!X48</f>
        <v>-50924.6212017888</v>
      </c>
      <c r="Y21" s="65" t="n">
        <f aca="false">PL!Y48</f>
        <v>-69452.7941179462</v>
      </c>
      <c r="Z21" s="65" t="n">
        <f aca="false">PL!Z48</f>
        <v>-47010.06643073</v>
      </c>
      <c r="AA21" s="65" t="n">
        <f aca="false">PL!AA48</f>
        <v>-33482.7373988667</v>
      </c>
      <c r="AB21" s="65" t="n">
        <f aca="false">PL!AB48</f>
        <v>-23878.4790076559</v>
      </c>
    </row>
    <row r="22" customFormat="false" ht="15" hidden="false" customHeight="false" outlineLevel="0" collapsed="false">
      <c r="A22" s="28" t="s">
        <v>1424</v>
      </c>
      <c r="B22" s="63"/>
      <c r="C22" s="64" t="n">
        <f aca="false">P22</f>
        <v>0</v>
      </c>
      <c r="D22" s="64" t="n">
        <f aca="false">AB22</f>
        <v>0</v>
      </c>
      <c r="E22" s="65" t="n">
        <f aca="false">MAX(0,SUMIFS(Tax!$E$21:$AB$21,Assumptions!$E$191:$AB$191,Assumptions!E$191,Assumptions!$E$189:$AB$189,"&lt;="&amp;Assumptions!E$189))</f>
        <v>0</v>
      </c>
      <c r="F22" s="65" t="n">
        <f aca="false">MAX(0,SUMIFS(Tax!$E$21:$AB$21,Assumptions!$E$191:$AB$191,Assumptions!F$191,Assumptions!$E$189:$AB$189,"&lt;="&amp;Assumptions!F$189))</f>
        <v>0</v>
      </c>
      <c r="G22" s="65" t="n">
        <f aca="false">MAX(0,SUMIFS(Tax!$E$21:$AB$21,Assumptions!$E$191:$AB$191,Assumptions!G$191,Assumptions!$E$189:$AB$189,"&lt;="&amp;Assumptions!G$189))</f>
        <v>0</v>
      </c>
      <c r="H22" s="65" t="n">
        <f aca="false">MAX(0,SUMIFS(Tax!$E$21:$AB$21,Assumptions!$E$191:$AB$191,Assumptions!H$191,Assumptions!$E$189:$AB$189,"&lt;="&amp;Assumptions!H$189))</f>
        <v>0</v>
      </c>
      <c r="I22" s="65" t="n">
        <f aca="false">MAX(0,SUMIFS(Tax!$E$21:$AB$21,Assumptions!$E$191:$AB$191,Assumptions!I$191,Assumptions!$E$189:$AB$189,"&lt;="&amp;Assumptions!I$189))</f>
        <v>0</v>
      </c>
      <c r="J22" s="65" t="n">
        <f aca="false">MAX(0,SUMIFS(Tax!$E$21:$AB$21,Assumptions!$E$191:$AB$191,Assumptions!J$191,Assumptions!$E$189:$AB$189,"&lt;="&amp;Assumptions!J$189))</f>
        <v>0</v>
      </c>
      <c r="K22" s="65" t="n">
        <f aca="false">MAX(0,SUMIFS(Tax!$E$21:$AB$21,Assumptions!$E$191:$AB$191,Assumptions!K$191,Assumptions!$E$189:$AB$189,"&lt;="&amp;Assumptions!K$189))</f>
        <v>0</v>
      </c>
      <c r="L22" s="65" t="n">
        <f aca="false">MAX(0,SUMIFS(Tax!$E$21:$AB$21,Assumptions!$E$191:$AB$191,Assumptions!L$191,Assumptions!$E$189:$AB$189,"&lt;="&amp;Assumptions!L$189))</f>
        <v>0</v>
      </c>
      <c r="M22" s="65" t="n">
        <f aca="false">MAX(0,SUMIFS(Tax!$E$21:$AB$21,Assumptions!$E$191:$AB$191,Assumptions!M$191,Assumptions!$E$189:$AB$189,"&lt;="&amp;Assumptions!M$189))</f>
        <v>0</v>
      </c>
      <c r="N22" s="65" t="n">
        <f aca="false">MAX(0,SUMIFS(Tax!$E$21:$AB$21,Assumptions!$E$191:$AB$191,Assumptions!N$191,Assumptions!$E$189:$AB$189,"&lt;="&amp;Assumptions!N$189))</f>
        <v>0</v>
      </c>
      <c r="O22" s="65" t="n">
        <f aca="false">MAX(0,SUMIFS(Tax!$E$21:$AB$21,Assumptions!$E$191:$AB$191,Assumptions!O$191,Assumptions!$E$189:$AB$189,"&lt;="&amp;Assumptions!O$189))</f>
        <v>0</v>
      </c>
      <c r="P22" s="65" t="n">
        <f aca="false">MAX(0,SUMIFS(Tax!$E$21:$AB$21,Assumptions!$E$191:$AB$191,Assumptions!P$191,Assumptions!$E$189:$AB$189,"&lt;="&amp;Assumptions!P$189))</f>
        <v>0</v>
      </c>
      <c r="Q22" s="65" t="n">
        <f aca="false">MAX(0,SUMIFS(Tax!$E$21:$AB$21,Assumptions!$E$191:$AB$191,Assumptions!Q$191,Assumptions!$E$189:$AB$189,"&lt;="&amp;Assumptions!Q$189))</f>
        <v>0</v>
      </c>
      <c r="R22" s="65" t="n">
        <f aca="false">MAX(0,SUMIFS(Tax!$E$21:$AB$21,Assumptions!$E$191:$AB$191,Assumptions!R$191,Assumptions!$E$189:$AB$189,"&lt;="&amp;Assumptions!R$189))</f>
        <v>0</v>
      </c>
      <c r="S22" s="65" t="n">
        <f aca="false">MAX(0,SUMIFS(Tax!$E$21:$AB$21,Assumptions!$E$191:$AB$191,Assumptions!S$191,Assumptions!$E$189:$AB$189,"&lt;="&amp;Assumptions!S$189))</f>
        <v>0</v>
      </c>
      <c r="T22" s="65" t="n">
        <f aca="false">MAX(0,SUMIFS(Tax!$E$21:$AB$21,Assumptions!$E$191:$AB$191,Assumptions!T$191,Assumptions!$E$189:$AB$189,"&lt;="&amp;Assumptions!T$189))</f>
        <v>0</v>
      </c>
      <c r="U22" s="65" t="n">
        <f aca="false">MAX(0,SUMIFS(Tax!$E$21:$AB$21,Assumptions!$E$191:$AB$191,Assumptions!U$191,Assumptions!$E$189:$AB$189,"&lt;="&amp;Assumptions!U$189))</f>
        <v>0</v>
      </c>
      <c r="V22" s="65" t="n">
        <f aca="false">MAX(0,SUMIFS(Tax!$E$21:$AB$21,Assumptions!$E$191:$AB$191,Assumptions!V$191,Assumptions!$E$189:$AB$189,"&lt;="&amp;Assumptions!V$189))</f>
        <v>0</v>
      </c>
      <c r="W22" s="65" t="n">
        <f aca="false">MAX(0,SUMIFS(Tax!$E$21:$AB$21,Assumptions!$E$191:$AB$191,Assumptions!W$191,Assumptions!$E$189:$AB$189,"&lt;="&amp;Assumptions!W$189))</f>
        <v>0</v>
      </c>
      <c r="X22" s="65" t="n">
        <f aca="false">MAX(0,SUMIFS(Tax!$E$21:$AB$21,Assumptions!$E$191:$AB$191,Assumptions!X$191,Assumptions!$E$189:$AB$189,"&lt;="&amp;Assumptions!X$189))</f>
        <v>0</v>
      </c>
      <c r="Y22" s="65" t="n">
        <f aca="false">MAX(0,SUMIFS(Tax!$E$21:$AB$21,Assumptions!$E$191:$AB$191,Assumptions!Y$191,Assumptions!$E$189:$AB$189,"&lt;="&amp;Assumptions!Y$189))</f>
        <v>0</v>
      </c>
      <c r="Z22" s="65" t="n">
        <f aca="false">MAX(0,SUMIFS(Tax!$E$21:$AB$21,Assumptions!$E$191:$AB$191,Assumptions!Z$191,Assumptions!$E$189:$AB$189,"&lt;="&amp;Assumptions!Z$189))</f>
        <v>0</v>
      </c>
      <c r="AA22" s="65" t="n">
        <f aca="false">MAX(0,SUMIFS(Tax!$E$21:$AB$21,Assumptions!$E$191:$AB$191,Assumptions!AA$191,Assumptions!$E$189:$AB$189,"&lt;="&amp;Assumptions!AA$189))</f>
        <v>0</v>
      </c>
      <c r="AB22" s="65" t="n">
        <f aca="false">MAX(0,SUMIFS(Tax!$E$21:$AB$21,Assumptions!$E$191:$AB$191,Assumptions!AB$191,Assumptions!$E$189:$AB$189,"&lt;="&amp;Assumptions!AB$189))</f>
        <v>0</v>
      </c>
    </row>
    <row r="23" customFormat="false" ht="15" hidden="false" customHeight="false" outlineLevel="0" collapsed="false">
      <c r="A23" s="28" t="s">
        <v>1425</v>
      </c>
      <c r="B23" s="63"/>
      <c r="C23" s="64" t="n">
        <f aca="false">P23</f>
        <v>6850000</v>
      </c>
      <c r="D23" s="64" t="n">
        <f aca="false">AB23</f>
        <v>8292797.7644793</v>
      </c>
      <c r="E23" s="65" t="n">
        <f aca="false">Assumptions!$C$33</f>
        <v>6850000</v>
      </c>
      <c r="F23" s="65" t="n">
        <f aca="false">Assumptions!$C$33</f>
        <v>6850000</v>
      </c>
      <c r="G23" s="65" t="n">
        <f aca="false">Assumptions!$C$33</f>
        <v>6850000</v>
      </c>
      <c r="H23" s="65" t="n">
        <f aca="false">Assumptions!$C$33</f>
        <v>6850000</v>
      </c>
      <c r="I23" s="65" t="n">
        <f aca="false">Assumptions!$C$33</f>
        <v>6850000</v>
      </c>
      <c r="J23" s="65" t="n">
        <f aca="false">Assumptions!$C$33</f>
        <v>6850000</v>
      </c>
      <c r="K23" s="65" t="n">
        <f aca="false">Assumptions!$C$33</f>
        <v>6850000</v>
      </c>
      <c r="L23" s="65" t="n">
        <f aca="false">Assumptions!$C$33</f>
        <v>6850000</v>
      </c>
      <c r="M23" s="65" t="n">
        <f aca="false">Assumptions!$C$33</f>
        <v>6850000</v>
      </c>
      <c r="N23" s="65" t="n">
        <f aca="false">Assumptions!$C$33</f>
        <v>6850000</v>
      </c>
      <c r="O23" s="65" t="n">
        <f aca="false">Assumptions!$C$33</f>
        <v>6850000</v>
      </c>
      <c r="P23" s="65" t="n">
        <f aca="false">Assumptions!$C$33</f>
        <v>6850000</v>
      </c>
      <c r="Q23" s="65" t="n">
        <f aca="false">MAX(0,Assumptions!$C$33-Tax!$C$24+IF(Tax!$C$21&lt;0,-Tax!$C$21,0))</f>
        <v>8292797.7644793</v>
      </c>
      <c r="R23" s="65" t="n">
        <f aca="false">MAX(0,Assumptions!$C$33-Tax!$C$24+IF(Tax!$C$21&lt;0,-Tax!$C$21,0))</f>
        <v>8292797.7644793</v>
      </c>
      <c r="S23" s="65" t="n">
        <f aca="false">MAX(0,Assumptions!$C$33-Tax!$C$24+IF(Tax!$C$21&lt;0,-Tax!$C$21,0))</f>
        <v>8292797.7644793</v>
      </c>
      <c r="T23" s="65" t="n">
        <f aca="false">MAX(0,Assumptions!$C$33-Tax!$C$24+IF(Tax!$C$21&lt;0,-Tax!$C$21,0))</f>
        <v>8292797.7644793</v>
      </c>
      <c r="U23" s="65" t="n">
        <f aca="false">MAX(0,Assumptions!$C$33-Tax!$C$24+IF(Tax!$C$21&lt;0,-Tax!$C$21,0))</f>
        <v>8292797.7644793</v>
      </c>
      <c r="V23" s="65" t="n">
        <f aca="false">MAX(0,Assumptions!$C$33-Tax!$C$24+IF(Tax!$C$21&lt;0,-Tax!$C$21,0))</f>
        <v>8292797.7644793</v>
      </c>
      <c r="W23" s="65" t="n">
        <f aca="false">MAX(0,Assumptions!$C$33-Tax!$C$24+IF(Tax!$C$21&lt;0,-Tax!$C$21,0))</f>
        <v>8292797.7644793</v>
      </c>
      <c r="X23" s="65" t="n">
        <f aca="false">MAX(0,Assumptions!$C$33-Tax!$C$24+IF(Tax!$C$21&lt;0,-Tax!$C$21,0))</f>
        <v>8292797.7644793</v>
      </c>
      <c r="Y23" s="65" t="n">
        <f aca="false">MAX(0,Assumptions!$C$33-Tax!$C$24+IF(Tax!$C$21&lt;0,-Tax!$C$21,0))</f>
        <v>8292797.7644793</v>
      </c>
      <c r="Z23" s="65" t="n">
        <f aca="false">MAX(0,Assumptions!$C$33-Tax!$C$24+IF(Tax!$C$21&lt;0,-Tax!$C$21,0))</f>
        <v>8292797.7644793</v>
      </c>
      <c r="AA23" s="65" t="n">
        <f aca="false">MAX(0,Assumptions!$C$33-Tax!$C$24+IF(Tax!$C$21&lt;0,-Tax!$C$21,0))</f>
        <v>8292797.7644793</v>
      </c>
      <c r="AB23" s="65" t="n">
        <f aca="false">MAX(0,Assumptions!$C$33-Tax!$C$24+IF(Tax!$C$21&lt;0,-Tax!$C$21,0))</f>
        <v>8292797.7644793</v>
      </c>
    </row>
    <row r="24" customFormat="false" ht="15" hidden="false" customHeight="false" outlineLevel="0" collapsed="false">
      <c r="A24" s="28" t="s">
        <v>1426</v>
      </c>
      <c r="B24" s="63" t="s">
        <v>208</v>
      </c>
      <c r="C24" s="64" t="n">
        <f aca="false">P24</f>
        <v>0</v>
      </c>
      <c r="D24" s="64" t="n">
        <f aca="false">AB24</f>
        <v>0</v>
      </c>
      <c r="E24" s="65" t="n">
        <f aca="false">MIN(E23,E22,MAX(Assumptions!$C$35,Assumptions!$C$34*E22))</f>
        <v>0</v>
      </c>
      <c r="F24" s="65" t="n">
        <f aca="false">MIN(F23,F22,MAX(Assumptions!$C$35,Assumptions!$C$34*F22))</f>
        <v>0</v>
      </c>
      <c r="G24" s="65" t="n">
        <f aca="false">MIN(G23,G22,MAX(Assumptions!$C$35,Assumptions!$C$34*G22))</f>
        <v>0</v>
      </c>
      <c r="H24" s="65" t="n">
        <f aca="false">MIN(H23,H22,MAX(Assumptions!$C$35,Assumptions!$C$34*H22))</f>
        <v>0</v>
      </c>
      <c r="I24" s="65" t="n">
        <f aca="false">MIN(I23,I22,MAX(Assumptions!$C$35,Assumptions!$C$34*I22))</f>
        <v>0</v>
      </c>
      <c r="J24" s="65" t="n">
        <f aca="false">MIN(J23,J22,MAX(Assumptions!$C$35,Assumptions!$C$34*J22))</f>
        <v>0</v>
      </c>
      <c r="K24" s="65" t="n">
        <f aca="false">MIN(K23,K22,MAX(Assumptions!$C$35,Assumptions!$C$34*K22))</f>
        <v>0</v>
      </c>
      <c r="L24" s="65" t="n">
        <f aca="false">MIN(L23,L22,MAX(Assumptions!$C$35,Assumptions!$C$34*L22))</f>
        <v>0</v>
      </c>
      <c r="M24" s="65" t="n">
        <f aca="false">MIN(M23,M22,MAX(Assumptions!$C$35,Assumptions!$C$34*M22))</f>
        <v>0</v>
      </c>
      <c r="N24" s="65" t="n">
        <f aca="false">MIN(N23,N22,MAX(Assumptions!$C$35,Assumptions!$C$34*N22))</f>
        <v>0</v>
      </c>
      <c r="O24" s="65" t="n">
        <f aca="false">MIN(O23,O22,MAX(Assumptions!$C$35,Assumptions!$C$34*O22))</f>
        <v>0</v>
      </c>
      <c r="P24" s="65" t="n">
        <f aca="false">MIN(P23,P22,MAX(Assumptions!$C$35,Assumptions!$C$34*P22))</f>
        <v>0</v>
      </c>
      <c r="Q24" s="65" t="n">
        <f aca="false">MIN(Q23,Q22,MAX(Assumptions!$C$35,Assumptions!$C$34*Q22))</f>
        <v>0</v>
      </c>
      <c r="R24" s="65" t="n">
        <f aca="false">MIN(R23,R22,MAX(Assumptions!$C$35,Assumptions!$C$34*R22))</f>
        <v>0</v>
      </c>
      <c r="S24" s="65" t="n">
        <f aca="false">MIN(S23,S22,MAX(Assumptions!$C$35,Assumptions!$C$34*S22))</f>
        <v>0</v>
      </c>
      <c r="T24" s="65" t="n">
        <f aca="false">MIN(T23,T22,MAX(Assumptions!$C$35,Assumptions!$C$34*T22))</f>
        <v>0</v>
      </c>
      <c r="U24" s="65" t="n">
        <f aca="false">MIN(U23,U22,MAX(Assumptions!$C$35,Assumptions!$C$34*U22))</f>
        <v>0</v>
      </c>
      <c r="V24" s="65" t="n">
        <f aca="false">MIN(V23,V22,MAX(Assumptions!$C$35,Assumptions!$C$34*V22))</f>
        <v>0</v>
      </c>
      <c r="W24" s="65" t="n">
        <f aca="false">MIN(W23,W22,MAX(Assumptions!$C$35,Assumptions!$C$34*W22))</f>
        <v>0</v>
      </c>
      <c r="X24" s="65" t="n">
        <f aca="false">MIN(X23,X22,MAX(Assumptions!$C$35,Assumptions!$C$34*X22))</f>
        <v>0</v>
      </c>
      <c r="Y24" s="65" t="n">
        <f aca="false">MIN(Y23,Y22,MAX(Assumptions!$C$35,Assumptions!$C$34*Y22))</f>
        <v>0</v>
      </c>
      <c r="Z24" s="65" t="n">
        <f aca="false">MIN(Z23,Z22,MAX(Assumptions!$C$35,Assumptions!$C$34*Z22))</f>
        <v>0</v>
      </c>
      <c r="AA24" s="65" t="n">
        <f aca="false">MIN(AA23,AA22,MAX(Assumptions!$C$35,Assumptions!$C$34*AA22))</f>
        <v>0</v>
      </c>
      <c r="AB24" s="65" t="n">
        <f aca="false">MIN(AB23,AB22,MAX(Assumptions!$C$35,Assumptions!$C$34*AB22))</f>
        <v>0</v>
      </c>
    </row>
    <row r="25" customFormat="false" ht="15" hidden="false" customHeight="false" outlineLevel="0" collapsed="false">
      <c r="A25" s="28" t="s">
        <v>1427</v>
      </c>
      <c r="B25" s="63"/>
      <c r="C25" s="64" t="n">
        <f aca="false">P25</f>
        <v>0</v>
      </c>
      <c r="D25" s="64" t="n">
        <f aca="false">AB25</f>
        <v>0</v>
      </c>
      <c r="E25" s="65" t="n">
        <f aca="false">(E22-E24)*Assumptions!E$214</f>
        <v>0</v>
      </c>
      <c r="F25" s="65" t="n">
        <f aca="false">(F22-F24)*Assumptions!F$214</f>
        <v>0</v>
      </c>
      <c r="G25" s="65" t="n">
        <f aca="false">(G22-G24)*Assumptions!G$214</f>
        <v>0</v>
      </c>
      <c r="H25" s="65" t="n">
        <f aca="false">(H22-H24)*Assumptions!H$214</f>
        <v>0</v>
      </c>
      <c r="I25" s="65" t="n">
        <f aca="false">(I22-I24)*Assumptions!I$214</f>
        <v>0</v>
      </c>
      <c r="J25" s="65" t="n">
        <f aca="false">(J22-J24)*Assumptions!J$214</f>
        <v>0</v>
      </c>
      <c r="K25" s="65" t="n">
        <f aca="false">(K22-K24)*Assumptions!K$214</f>
        <v>0</v>
      </c>
      <c r="L25" s="65" t="n">
        <f aca="false">(L22-L24)*Assumptions!L$214</f>
        <v>0</v>
      </c>
      <c r="M25" s="65" t="n">
        <f aca="false">(M22-M24)*Assumptions!M$214</f>
        <v>0</v>
      </c>
      <c r="N25" s="65" t="n">
        <f aca="false">(N22-N24)*Assumptions!N$214</f>
        <v>0</v>
      </c>
      <c r="O25" s="65" t="n">
        <f aca="false">(O22-O24)*Assumptions!O$214</f>
        <v>0</v>
      </c>
      <c r="P25" s="65" t="n">
        <f aca="false">(P22-P24)*Assumptions!P$214</f>
        <v>0</v>
      </c>
      <c r="Q25" s="65" t="n">
        <f aca="false">(Q22-Q24)*Assumptions!Q$214</f>
        <v>0</v>
      </c>
      <c r="R25" s="65" t="n">
        <f aca="false">(R22-R24)*Assumptions!R$214</f>
        <v>0</v>
      </c>
      <c r="S25" s="65" t="n">
        <f aca="false">(S22-S24)*Assumptions!S$214</f>
        <v>0</v>
      </c>
      <c r="T25" s="65" t="n">
        <f aca="false">(T22-T24)*Assumptions!T$214</f>
        <v>0</v>
      </c>
      <c r="U25" s="65" t="n">
        <f aca="false">(U22-U24)*Assumptions!U$214</f>
        <v>0</v>
      </c>
      <c r="V25" s="65" t="n">
        <f aca="false">(V22-V24)*Assumptions!V$214</f>
        <v>0</v>
      </c>
      <c r="W25" s="65" t="n">
        <f aca="false">(W22-W24)*Assumptions!W$214</f>
        <v>0</v>
      </c>
      <c r="X25" s="65" t="n">
        <f aca="false">(X22-X24)*Assumptions!X$214</f>
        <v>0</v>
      </c>
      <c r="Y25" s="65" t="n">
        <f aca="false">(Y22-Y24)*Assumptions!Y$214</f>
        <v>0</v>
      </c>
      <c r="Z25" s="65" t="n">
        <f aca="false">(Z22-Z24)*Assumptions!Z$214</f>
        <v>0</v>
      </c>
      <c r="AA25" s="65" t="n">
        <f aca="false">(AA22-AA24)*Assumptions!AA$214</f>
        <v>0</v>
      </c>
      <c r="AB25" s="65" t="n">
        <f aca="false">(AB22-AB24)*Assumptions!AB$214</f>
        <v>0</v>
      </c>
    </row>
    <row r="26" customFormat="false" ht="15" hidden="false" customHeight="false" outlineLevel="0" collapsed="false">
      <c r="A26" s="59" t="s">
        <v>1428</v>
      </c>
      <c r="B26" s="60"/>
      <c r="C26" s="61" t="n">
        <f aca="false">SUM(E26:P26)</f>
        <v>0</v>
      </c>
      <c r="D26" s="61" t="n">
        <f aca="false">SUM(Q26:AB26)</f>
        <v>0</v>
      </c>
      <c r="E26" s="62" t="n">
        <f aca="false">E25-IF(Assumptions!E$192=1,0,0)</f>
        <v>0</v>
      </c>
      <c r="F26" s="62" t="n">
        <f aca="false">F25-IF(Assumptions!F$192=1,0,E25)</f>
        <v>0</v>
      </c>
      <c r="G26" s="62" t="n">
        <f aca="false">G25-IF(Assumptions!G$192=1,0,F25)</f>
        <v>0</v>
      </c>
      <c r="H26" s="62" t="n">
        <f aca="false">H25-IF(Assumptions!H$192=1,0,G25)</f>
        <v>0</v>
      </c>
      <c r="I26" s="62" t="n">
        <f aca="false">I25-IF(Assumptions!I$192=1,0,H25)</f>
        <v>0</v>
      </c>
      <c r="J26" s="62" t="n">
        <f aca="false">J25-IF(Assumptions!J$192=1,0,I25)</f>
        <v>0</v>
      </c>
      <c r="K26" s="62" t="n">
        <f aca="false">K25-IF(Assumptions!K$192=1,0,J25)</f>
        <v>0</v>
      </c>
      <c r="L26" s="62" t="n">
        <f aca="false">L25-IF(Assumptions!L$192=1,0,K25)</f>
        <v>0</v>
      </c>
      <c r="M26" s="62" t="n">
        <f aca="false">M25-IF(Assumptions!M$192=1,0,L25)</f>
        <v>0</v>
      </c>
      <c r="N26" s="62" t="n">
        <f aca="false">N25-IF(Assumptions!N$192=1,0,M25)</f>
        <v>0</v>
      </c>
      <c r="O26" s="62" t="n">
        <f aca="false">O25-IF(Assumptions!O$192=1,0,N25)</f>
        <v>0</v>
      </c>
      <c r="P26" s="62" t="n">
        <f aca="false">P25-IF(Assumptions!P$192=1,0,O25)</f>
        <v>0</v>
      </c>
      <c r="Q26" s="62" t="n">
        <f aca="false">Q25-IF(Assumptions!Q$192=1,0,P25)</f>
        <v>0</v>
      </c>
      <c r="R26" s="62" t="n">
        <f aca="false">R25-IF(Assumptions!R$192=1,0,Q25)</f>
        <v>0</v>
      </c>
      <c r="S26" s="62" t="n">
        <f aca="false">S25-IF(Assumptions!S$192=1,0,R25)</f>
        <v>0</v>
      </c>
      <c r="T26" s="62" t="n">
        <f aca="false">T25-IF(Assumptions!T$192=1,0,S25)</f>
        <v>0</v>
      </c>
      <c r="U26" s="62" t="n">
        <f aca="false">U25-IF(Assumptions!U$192=1,0,T25)</f>
        <v>0</v>
      </c>
      <c r="V26" s="62" t="n">
        <f aca="false">V25-IF(Assumptions!V$192=1,0,U25)</f>
        <v>0</v>
      </c>
      <c r="W26" s="62" t="n">
        <f aca="false">W25-IF(Assumptions!W$192=1,0,V25)</f>
        <v>0</v>
      </c>
      <c r="X26" s="62" t="n">
        <f aca="false">X25-IF(Assumptions!X$192=1,0,W25)</f>
        <v>0</v>
      </c>
      <c r="Y26" s="62" t="n">
        <f aca="false">Y25-IF(Assumptions!Y$192=1,0,X25)</f>
        <v>0</v>
      </c>
      <c r="Z26" s="62" t="n">
        <f aca="false">Z25-IF(Assumptions!Z$192=1,0,Y25)</f>
        <v>0</v>
      </c>
      <c r="AA26" s="62" t="n">
        <f aca="false">AA25-IF(Assumptions!AA$192=1,0,Z25)</f>
        <v>0</v>
      </c>
      <c r="AB26" s="62" t="n">
        <f aca="false">AB25-IF(Assumptions!AB$192=1,0,AA25)</f>
        <v>0</v>
      </c>
    </row>
    <row r="27" customFormat="false" ht="15" hidden="false" customHeight="false" outlineLevel="0" collapsed="false">
      <c r="A27" s="28" t="s">
        <v>1429</v>
      </c>
      <c r="B27" s="63"/>
      <c r="C27" s="64" t="n">
        <f aca="false">SUM(E27:P27)</f>
        <v>0</v>
      </c>
      <c r="D27" s="64" t="n">
        <f aca="false">SUM(Q27:AB27)</f>
        <v>0</v>
      </c>
      <c r="E27" s="74" t="n">
        <f aca="false">0</f>
        <v>0</v>
      </c>
      <c r="F27" s="74" t="n">
        <f aca="false">0</f>
        <v>0</v>
      </c>
      <c r="G27" s="74" t="n">
        <f aca="false">0</f>
        <v>0</v>
      </c>
      <c r="H27" s="74" t="n">
        <f aca="false">0</f>
        <v>0</v>
      </c>
      <c r="I27" s="74" t="n">
        <f aca="false">0</f>
        <v>0</v>
      </c>
      <c r="J27" s="74" t="n">
        <f aca="false">0</f>
        <v>0</v>
      </c>
      <c r="K27" s="74" t="n">
        <f aca="false">0</f>
        <v>0</v>
      </c>
      <c r="L27" s="74" t="n">
        <f aca="false">0</f>
        <v>0</v>
      </c>
      <c r="M27" s="74" t="n">
        <f aca="false">0</f>
        <v>0</v>
      </c>
      <c r="N27" s="74" t="n">
        <f aca="false">0</f>
        <v>0</v>
      </c>
      <c r="O27" s="74" t="n">
        <f aca="false">0</f>
        <v>0</v>
      </c>
      <c r="P27" s="74" t="n">
        <f aca="false">0</f>
        <v>0</v>
      </c>
      <c r="Q27" s="65" t="n">
        <f aca="false">IF(Assumptions!Q$192=7,Tax!$C$26,0)</f>
        <v>0</v>
      </c>
      <c r="R27" s="65" t="n">
        <f aca="false">IF(Assumptions!R$192=7,Tax!$C$26,0)</f>
        <v>0</v>
      </c>
      <c r="S27" s="65" t="n">
        <f aca="false">IF(Assumptions!S$192=7,Tax!$C$26,0)</f>
        <v>0</v>
      </c>
      <c r="T27" s="65" t="n">
        <f aca="false">IF(Assumptions!T$192=7,Tax!$C$26,0)</f>
        <v>0</v>
      </c>
      <c r="U27" s="65" t="n">
        <f aca="false">IF(Assumptions!U$192=7,Tax!$C$26,0)</f>
        <v>0</v>
      </c>
      <c r="V27" s="65" t="n">
        <f aca="false">IF(Assumptions!V$192=7,Tax!$C$26,0)</f>
        <v>0</v>
      </c>
      <c r="W27" s="65" t="n">
        <f aca="false">IF(Assumptions!W$192=7,Tax!$C$26,0)</f>
        <v>0</v>
      </c>
      <c r="X27" s="65" t="n">
        <f aca="false">IF(Assumptions!X$192=7,Tax!$C$26,0)</f>
        <v>0</v>
      </c>
      <c r="Y27" s="65" t="n">
        <f aca="false">IF(Assumptions!Y$192=7,Tax!$C$26,0)</f>
        <v>0</v>
      </c>
      <c r="Z27" s="65" t="n">
        <f aca="false">IF(Assumptions!Z$192=7,Tax!$C$26,0)</f>
        <v>0</v>
      </c>
      <c r="AA27" s="65" t="n">
        <f aca="false">IF(Assumptions!AA$192=7,Tax!$C$26,0)</f>
        <v>0</v>
      </c>
      <c r="AB27" s="65" t="n">
        <f aca="false">IF(Assumptions!AB$192=7,Tax!$C$26,0)</f>
        <v>0</v>
      </c>
    </row>
    <row r="28" customFormat="false" ht="15" hidden="false" customHeight="false" outlineLevel="0" collapsed="false">
      <c r="A28" s="59" t="s">
        <v>1430</v>
      </c>
      <c r="B28" s="60"/>
      <c r="C28" s="61" t="n">
        <f aca="false">P28</f>
        <v>0</v>
      </c>
      <c r="D28" s="61" t="n">
        <f aca="false">AB28</f>
        <v>0</v>
      </c>
      <c r="E28" s="61" t="n">
        <f aca="false">0+E26-E27</f>
        <v>0</v>
      </c>
      <c r="F28" s="61" t="n">
        <f aca="false">E28+F26-F27</f>
        <v>0</v>
      </c>
      <c r="G28" s="61" t="n">
        <f aca="false">F28+G26-G27</f>
        <v>0</v>
      </c>
      <c r="H28" s="61" t="n">
        <f aca="false">G28+H26-H27</f>
        <v>0</v>
      </c>
      <c r="I28" s="61" t="n">
        <f aca="false">H28+I26-I27</f>
        <v>0</v>
      </c>
      <c r="J28" s="61" t="n">
        <f aca="false">I28+J26-J27</f>
        <v>0</v>
      </c>
      <c r="K28" s="61" t="n">
        <f aca="false">J28+K26-K27</f>
        <v>0</v>
      </c>
      <c r="L28" s="61" t="n">
        <f aca="false">K28+L26-L27</f>
        <v>0</v>
      </c>
      <c r="M28" s="61" t="n">
        <f aca="false">L28+M26-M27</f>
        <v>0</v>
      </c>
      <c r="N28" s="61" t="n">
        <f aca="false">M28+N26-N27</f>
        <v>0</v>
      </c>
      <c r="O28" s="61" t="n">
        <f aca="false">N28+O26-O27</f>
        <v>0</v>
      </c>
      <c r="P28" s="61" t="n">
        <f aca="false">O28+P26-P27</f>
        <v>0</v>
      </c>
      <c r="Q28" s="61" t="n">
        <f aca="false">P28+Q26-Q27</f>
        <v>0</v>
      </c>
      <c r="R28" s="61" t="n">
        <f aca="false">Q28+R26-R27</f>
        <v>0</v>
      </c>
      <c r="S28" s="61" t="n">
        <f aca="false">R28+S26-S27</f>
        <v>0</v>
      </c>
      <c r="T28" s="61" t="n">
        <f aca="false">S28+T26-T27</f>
        <v>0</v>
      </c>
      <c r="U28" s="61" t="n">
        <f aca="false">T28+U26-U27</f>
        <v>0</v>
      </c>
      <c r="V28" s="61" t="n">
        <f aca="false">U28+V26-V27</f>
        <v>0</v>
      </c>
      <c r="W28" s="61" t="n">
        <f aca="false">V28+W26-W27</f>
        <v>0</v>
      </c>
      <c r="X28" s="61" t="n">
        <f aca="false">W28+X26-X27</f>
        <v>0</v>
      </c>
      <c r="Y28" s="61" t="n">
        <f aca="false">X28+Y26-Y27</f>
        <v>0</v>
      </c>
      <c r="Z28" s="61" t="n">
        <f aca="false">Y28+Z26-Z27</f>
        <v>0</v>
      </c>
      <c r="AA28" s="61" t="n">
        <f aca="false">Z28+AA26-AA27</f>
        <v>0</v>
      </c>
      <c r="AB28" s="61" t="n">
        <f aca="false">AA28+AB26-AB27</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1431</v>
      </c>
    </row>
    <row r="3" customFormat="false" ht="15" hidden="false" customHeight="false" outlineLevel="0" collapsed="false">
      <c r="A3" s="50" t="s">
        <v>1432</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1433</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1434</v>
      </c>
      <c r="B9" s="63" t="s">
        <v>1435</v>
      </c>
      <c r="C9" s="64" t="n">
        <f aca="false">SUM(E9:P9)</f>
        <v>330887.836971927</v>
      </c>
      <c r="D9" s="64" t="n">
        <f aca="false">SUM(Q9:AB9)</f>
        <v>386229.207947347</v>
      </c>
      <c r="E9" s="65" t="n">
        <f aca="false">IF(E$5="A",Inputs_Actuals!E295,(Assumptions!$C$149*Assumptions!E$196+Assumptions!$C$150*ARR_Bridge!E60))</f>
        <v>26351.2</v>
      </c>
      <c r="F9" s="65" t="n">
        <f aca="false">IF(F$5="A",Inputs_Actuals!F295,(Assumptions!$C$149*Assumptions!F$196+Assumptions!$C$150*ARR_Bridge!F60))</f>
        <v>26794.29</v>
      </c>
      <c r="G9" s="65" t="n">
        <f aca="false">IF(G$5="A",Inputs_Actuals!G295,(Assumptions!$C$149*Assumptions!G$196+Assumptions!$C$150*ARR_Bridge!G60))</f>
        <v>25378.6</v>
      </c>
      <c r="H9" s="65" t="n">
        <f aca="false">IF(H$5="A",Inputs_Actuals!H295,(Assumptions!$C$149*Assumptions!H$196+Assumptions!$C$150*ARR_Bridge!H60))</f>
        <v>26564.07</v>
      </c>
      <c r="I9" s="65" t="n">
        <f aca="false">IF(I$5="A",Inputs_Actuals!I295,(Assumptions!$C$149*Assumptions!I$196+Assumptions!$C$150*ARR_Bridge!I60))</f>
        <v>27185.07</v>
      </c>
      <c r="J9" s="65" t="n">
        <f aca="false">IF(J$5="A",Inputs_Actuals!J295,(Assumptions!$C$149*Assumptions!J$196+Assumptions!$C$150*ARR_Bridge!J60))</f>
        <v>27866.41</v>
      </c>
      <c r="K9" s="65" t="n">
        <f aca="false">IF(K$5="A",Inputs_Actuals!K295,(Assumptions!$C$149*Assumptions!K$196+Assumptions!$C$150*ARR_Bridge!K60))</f>
        <v>26930.58</v>
      </c>
      <c r="L9" s="65" t="n">
        <f aca="false">IF(L$5="A",Inputs_Actuals!L295,(Assumptions!$C$149*Assumptions!L$196+Assumptions!$C$150*ARR_Bridge!L60))</f>
        <v>28406.73</v>
      </c>
      <c r="M9" s="65" t="n">
        <f aca="false">IF(M$5="A",Inputs_Actuals!M295,(Assumptions!$C$149*Assumptions!M$196+Assumptions!$C$150*ARR_Bridge!M60))</f>
        <v>28357.5559740454</v>
      </c>
      <c r="N9" s="65" t="n">
        <f aca="false">IF(N$5="A",Inputs_Actuals!N295,(Assumptions!$C$149*Assumptions!N$196+Assumptions!$C$150*ARR_Bridge!N60))</f>
        <v>28650.1941841764</v>
      </c>
      <c r="O9" s="65" t="n">
        <f aca="false">IF(O$5="A",Inputs_Actuals!O295,(Assumptions!$C$149*Assumptions!O$196+Assumptions!$C$150*ARR_Bridge!O60))</f>
        <v>29033.1325280722</v>
      </c>
      <c r="P9" s="65" t="n">
        <f aca="false">IF(P$5="A",Inputs_Actuals!P295,(Assumptions!$C$149*Assumptions!P$196+Assumptions!$C$150*ARR_Bridge!P60))</f>
        <v>29370.004285633</v>
      </c>
      <c r="Q9" s="65" t="n">
        <f aca="false">IF(Q$5="A",Inputs_Actuals!Q295,(Assumptions!$C$149*Assumptions!Q$196+Assumptions!$C$150*ARR_Bridge!Q60))</f>
        <v>30348.3389792434</v>
      </c>
      <c r="R9" s="65" t="n">
        <f aca="false">IF(R$5="A",Inputs_Actuals!R295,(Assumptions!$C$149*Assumptions!R$196+Assumptions!$C$150*ARR_Bridge!R60))</f>
        <v>30708.889563712</v>
      </c>
      <c r="S9" s="65" t="n">
        <f aca="false">IF(S$5="A",Inputs_Actuals!S295,(Assumptions!$C$149*Assumptions!S$196+Assumptions!$C$150*ARR_Bridge!S60))</f>
        <v>31068.3915606028</v>
      </c>
      <c r="T9" s="65" t="n">
        <f aca="false">IF(T$5="A",Inputs_Actuals!T295,(Assumptions!$C$149*Assumptions!T$196+Assumptions!$C$150*ARR_Bridge!T60))</f>
        <v>31414.6006918984</v>
      </c>
      <c r="U9" s="65" t="n">
        <f aca="false">IF(U$5="A",Inputs_Actuals!U295,(Assumptions!$C$149*Assumptions!U$196+Assumptions!$C$150*ARR_Bridge!U60))</f>
        <v>31665.2650317535</v>
      </c>
      <c r="V9" s="65" t="n">
        <f aca="false">IF(V$5="A",Inputs_Actuals!V295,(Assumptions!$C$149*Assumptions!V$196+Assumptions!$C$150*ARR_Bridge!V60))</f>
        <v>32011.0247811347</v>
      </c>
      <c r="W9" s="65" t="n">
        <f aca="false">IF(W$5="A",Inputs_Actuals!W295,(Assumptions!$C$149*Assumptions!W$196+Assumptions!$C$150*ARR_Bridge!W60))</f>
        <v>32320.5796438791</v>
      </c>
      <c r="X9" s="65" t="n">
        <f aca="false">IF(X$5="A",Inputs_Actuals!X295,(Assumptions!$C$149*Assumptions!X$196+Assumptions!$C$150*ARR_Bridge!X60))</f>
        <v>32571.3507068492</v>
      </c>
      <c r="Y9" s="65" t="n">
        <f aca="false">IF(Y$5="A",Inputs_Actuals!Y295,(Assumptions!$C$149*Assumptions!Y$196+Assumptions!$C$150*ARR_Bridge!Y60))</f>
        <v>32965.221078364</v>
      </c>
      <c r="Z9" s="65" t="n">
        <f aca="false">IF(Z$5="A",Inputs_Actuals!Z295,(Assumptions!$C$149*Assumptions!Z$196+Assumptions!$C$150*ARR_Bridge!Z60))</f>
        <v>33366.2956507956</v>
      </c>
      <c r="AA9" s="65" t="n">
        <f aca="false">IF(AA$5="A",Inputs_Actuals!AA295,(Assumptions!$C$149*Assumptions!AA$196+Assumptions!$C$150*ARR_Bridge!AA60))</f>
        <v>33737.2723604902</v>
      </c>
      <c r="AB9" s="65" t="n">
        <f aca="false">IF(AB$5="A",Inputs_Actuals!AB295,(Assumptions!$C$149*Assumptions!AB$196+Assumptions!$C$150*ARR_Bridge!AB60))</f>
        <v>34051.9778986236</v>
      </c>
    </row>
    <row r="10" customFormat="false" ht="15" hidden="false" customHeight="false" outlineLevel="0" collapsed="false">
      <c r="A10" s="28" t="s">
        <v>380</v>
      </c>
      <c r="B10" s="63" t="s">
        <v>1435</v>
      </c>
      <c r="C10" s="64" t="n">
        <f aca="false">SUM(E10:P10)</f>
        <v>99630.4734859635</v>
      </c>
      <c r="D10" s="64" t="n">
        <f aca="false">SUM(Q10:AB10)</f>
        <v>125134.603973673</v>
      </c>
      <c r="E10" s="65" t="n">
        <f aca="false">IF(E$5="A",Inputs_Actuals!E296,Assumptions!$C$151*ARR_Bridge!E60)</f>
        <v>7447.06</v>
      </c>
      <c r="F10" s="65" t="n">
        <f aca="false">IF(F$5="A",Inputs_Actuals!F296,Assumptions!$C$151*ARR_Bridge!F60)</f>
        <v>7792.37</v>
      </c>
      <c r="G10" s="65" t="n">
        <f aca="false">IF(G$5="A",Inputs_Actuals!G296,Assumptions!$C$151*ARR_Bridge!G60)</f>
        <v>7831.25</v>
      </c>
      <c r="H10" s="65" t="n">
        <f aca="false">IF(H$5="A",Inputs_Actuals!H296,Assumptions!$C$151*ARR_Bridge!H60)</f>
        <v>8070.86</v>
      </c>
      <c r="I10" s="65" t="n">
        <f aca="false">IF(I$5="A",Inputs_Actuals!I296,Assumptions!$C$151*ARR_Bridge!I60)</f>
        <v>7522.82</v>
      </c>
      <c r="J10" s="65" t="n">
        <f aca="false">IF(J$5="A",Inputs_Actuals!J296,Assumptions!$C$151*ARR_Bridge!J60)</f>
        <v>8424.19</v>
      </c>
      <c r="K10" s="65" t="n">
        <f aca="false">IF(K$5="A",Inputs_Actuals!K296,Assumptions!$C$151*ARR_Bridge!K60)</f>
        <v>8155.52</v>
      </c>
      <c r="L10" s="65" t="n">
        <f aca="false">IF(L$5="A",Inputs_Actuals!L296,Assumptions!$C$151*ARR_Bridge!L60)</f>
        <v>8680.96</v>
      </c>
      <c r="M10" s="65" t="n">
        <f aca="false">IF(M$5="A",Inputs_Actuals!M296,Assumptions!$C$151*ARR_Bridge!M60)</f>
        <v>8678.77798702272</v>
      </c>
      <c r="N10" s="65" t="n">
        <f aca="false">IF(N$5="A",Inputs_Actuals!N296,Assumptions!$C$151*ARR_Bridge!N60)</f>
        <v>8825.09709208819</v>
      </c>
      <c r="O10" s="65" t="n">
        <f aca="false">IF(O$5="A",Inputs_Actuals!O296,Assumptions!$C$151*ARR_Bridge!O60)</f>
        <v>9016.56626403609</v>
      </c>
      <c r="P10" s="65" t="n">
        <f aca="false">IF(P$5="A",Inputs_Actuals!P296,Assumptions!$C$151*ARR_Bridge!P60)</f>
        <v>9185.00214281651</v>
      </c>
      <c r="Q10" s="65" t="n">
        <f aca="false">IF(Q$5="A",Inputs_Actuals!Q296,Assumptions!$C$151*ARR_Bridge!Q60)</f>
        <v>9509.16948962171</v>
      </c>
      <c r="R10" s="65" t="n">
        <f aca="false">IF(R$5="A",Inputs_Actuals!R296,Assumptions!$C$151*ARR_Bridge!R60)</f>
        <v>9689.44478185598</v>
      </c>
      <c r="S10" s="65" t="n">
        <f aca="false">IF(S$5="A",Inputs_Actuals!S296,Assumptions!$C$151*ARR_Bridge!S60)</f>
        <v>9869.1957803014</v>
      </c>
      <c r="T10" s="65" t="n">
        <f aca="false">IF(T$5="A",Inputs_Actuals!T296,Assumptions!$C$151*ARR_Bridge!T60)</f>
        <v>10042.3003459492</v>
      </c>
      <c r="U10" s="65" t="n">
        <f aca="false">IF(U$5="A",Inputs_Actuals!U296,Assumptions!$C$151*ARR_Bridge!U60)</f>
        <v>10167.6325158768</v>
      </c>
      <c r="V10" s="65" t="n">
        <f aca="false">IF(V$5="A",Inputs_Actuals!V296,Assumptions!$C$151*ARR_Bridge!V60)</f>
        <v>10340.5123905674</v>
      </c>
      <c r="W10" s="65" t="n">
        <f aca="false">IF(W$5="A",Inputs_Actuals!W296,Assumptions!$C$151*ARR_Bridge!W60)</f>
        <v>10495.2898219396</v>
      </c>
      <c r="X10" s="65" t="n">
        <f aca="false">IF(X$5="A",Inputs_Actuals!X296,Assumptions!$C$151*ARR_Bridge!X60)</f>
        <v>10620.6753534246</v>
      </c>
      <c r="Y10" s="65" t="n">
        <f aca="false">IF(Y$5="A",Inputs_Actuals!Y296,Assumptions!$C$151*ARR_Bridge!Y60)</f>
        <v>10817.610539182</v>
      </c>
      <c r="Z10" s="65" t="n">
        <f aca="false">IF(Z$5="A",Inputs_Actuals!Z296,Assumptions!$C$151*ARR_Bridge!Z60)</f>
        <v>11018.1478253978</v>
      </c>
      <c r="AA10" s="65" t="n">
        <f aca="false">IF(AA$5="A",Inputs_Actuals!AA296,Assumptions!$C$151*ARR_Bridge!AA60)</f>
        <v>11203.6361802451</v>
      </c>
      <c r="AB10" s="65" t="n">
        <f aca="false">IF(AB$5="A",Inputs_Actuals!AB296,Assumptions!$C$151*ARR_Bridge!AB60)</f>
        <v>11360.9889493118</v>
      </c>
    </row>
    <row r="11" customFormat="false" ht="15" hidden="false" customHeight="false" outlineLevel="0" collapsed="false">
      <c r="A11" s="28" t="s">
        <v>1436</v>
      </c>
      <c r="B11" s="63" t="s">
        <v>1435</v>
      </c>
      <c r="C11" s="64" t="n">
        <f aca="false">SUM(E11:P11)</f>
        <v>235511.264986423</v>
      </c>
      <c r="D11" s="64" t="n">
        <f aca="false">SUM(Q11:AB11)</f>
        <v>277697.879695629</v>
      </c>
      <c r="E11" s="65" t="n">
        <f aca="false">IF(E$5="A",Inputs_Actuals!E297,Assumptions!$C$109*People!E24*Assumptions!E$196)</f>
        <v>18634.79</v>
      </c>
      <c r="F11" s="65" t="n">
        <f aca="false">IF(F$5="A",Inputs_Actuals!F297,Assumptions!$C$109*People!F24*Assumptions!F$196)</f>
        <v>18928.59</v>
      </c>
      <c r="G11" s="65" t="n">
        <f aca="false">IF(G$5="A",Inputs_Actuals!G297,Assumptions!$C$109*People!G24*Assumptions!G$196)</f>
        <v>19188.02</v>
      </c>
      <c r="H11" s="65" t="n">
        <f aca="false">IF(H$5="A",Inputs_Actuals!H297,Assumptions!$C$109*People!H24*Assumptions!H$196)</f>
        <v>19655.46</v>
      </c>
      <c r="I11" s="65" t="n">
        <f aca="false">IF(I$5="A",Inputs_Actuals!I297,Assumptions!$C$109*People!I24*Assumptions!I$196)</f>
        <v>19995.8</v>
      </c>
      <c r="J11" s="65" t="n">
        <f aca="false">IF(J$5="A",Inputs_Actuals!J297,Assumptions!$C$109*People!J24*Assumptions!J$196)</f>
        <v>19537.27</v>
      </c>
      <c r="K11" s="65" t="n">
        <f aca="false">IF(K$5="A",Inputs_Actuals!K297,Assumptions!$C$109*People!K24*Assumptions!K$196)</f>
        <v>20148.3</v>
      </c>
      <c r="L11" s="65" t="n">
        <f aca="false">IF(L$5="A",Inputs_Actuals!L297,Assumptions!$C$109*People!L24*Assumptions!L$196)</f>
        <v>19990.22</v>
      </c>
      <c r="M11" s="65" t="n">
        <f aca="false">IF(M$5="A",Inputs_Actuals!M297,Assumptions!$C$109*People!M24*Assumptions!M$196)</f>
        <v>19768.125</v>
      </c>
      <c r="N11" s="65" t="n">
        <f aca="false">IF(N$5="A",Inputs_Actuals!N297,Assumptions!$C$109*People!N24*Assumptions!N$196)</f>
        <v>19737.8134375</v>
      </c>
      <c r="O11" s="65" t="n">
        <f aca="false">IF(O$5="A",Inputs_Actuals!O297,Assumptions!$C$109*People!O24*Assumptions!O$196)</f>
        <v>19965.3365911458</v>
      </c>
      <c r="P11" s="65" t="n">
        <f aca="false">IF(P$5="A",Inputs_Actuals!P297,Assumptions!$C$109*People!P24*Assumptions!P$196)</f>
        <v>19961.5399577771</v>
      </c>
      <c r="Q11" s="65" t="n">
        <f aca="false">IF(Q$5="A",Inputs_Actuals!Q297,Assumptions!$C$109*People!Q24*Assumptions!Q$196)</f>
        <v>22177.8109338868</v>
      </c>
      <c r="R11" s="65" t="n">
        <f aca="false">IF(R$5="A",Inputs_Actuals!R297,Assumptions!$C$109*People!R24*Assumptions!R$196)</f>
        <v>22156.5487407274</v>
      </c>
      <c r="S11" s="65" t="n">
        <f aca="false">IF(S$5="A",Inputs_Actuals!S297,Assumptions!$C$109*People!S24*Assumptions!S$196)</f>
        <v>22599.0322160076</v>
      </c>
      <c r="T11" s="65" t="n">
        <f aca="false">IF(T$5="A",Inputs_Actuals!T297,Assumptions!$C$109*People!T24*Assumptions!T$196)</f>
        <v>22823.6921958842</v>
      </c>
      <c r="U11" s="65" t="n">
        <f aca="false">IF(U$5="A",Inputs_Actuals!U297,Assumptions!$C$109*People!U24*Assumptions!U$196)</f>
        <v>23277.5912555748</v>
      </c>
      <c r="V11" s="65" t="n">
        <f aca="false">IF(V$5="A",Inputs_Actuals!V297,Assumptions!$C$109*People!V24*Assumptions!V$196)</f>
        <v>23267.8271130983</v>
      </c>
      <c r="W11" s="65" t="n">
        <f aca="false">IF(W$5="A",Inputs_Actuals!W297,Assumptions!$C$109*People!W24*Assumptions!W$196)</f>
        <v>23260.4093901845</v>
      </c>
      <c r="X11" s="65" t="n">
        <f aca="false">IF(X$5="A",Inputs_Actuals!X297,Assumptions!$C$109*People!X24*Assumptions!X$196)</f>
        <v>23260.6958503368</v>
      </c>
      <c r="Y11" s="65" t="n">
        <f aca="false">IF(Y$5="A",Inputs_Actuals!Y297,Assumptions!$C$109*People!Y24*Assumptions!Y$196)</f>
        <v>23724.322190079</v>
      </c>
      <c r="Z11" s="65" t="n">
        <f aca="false">IF(Z$5="A",Inputs_Actuals!Z297,Assumptions!$C$109*People!Z24*Assumptions!Z$196)</f>
        <v>23719.6797024711</v>
      </c>
      <c r="AA11" s="65" t="n">
        <f aca="false">IF(AA$5="A",Inputs_Actuals!AA297,Assumptions!$C$109*People!AA24*Assumptions!AA$196)</f>
        <v>23715.088842759</v>
      </c>
      <c r="AB11" s="65" t="n">
        <f aca="false">IF(AB$5="A",Inputs_Actuals!AB297,Assumptions!$C$109*People!AB24*Assumptions!AB$196)</f>
        <v>23715.1812646192</v>
      </c>
    </row>
    <row r="12" customFormat="false" ht="15" hidden="false" customHeight="false" outlineLevel="0" collapsed="false">
      <c r="A12" s="28" t="s">
        <v>391</v>
      </c>
      <c r="B12" s="63" t="s">
        <v>1435</v>
      </c>
      <c r="C12" s="64" t="n">
        <f aca="false">SUM(E12:P12)</f>
        <v>809819.06</v>
      </c>
      <c r="D12" s="64" t="n">
        <f aca="false">SUM(Q12:AB12)</f>
        <v>832755</v>
      </c>
      <c r="E12" s="65" t="n">
        <f aca="false">IF(E$5="A",Inputs_Actuals!E298,Assumptions!$C$152*IF(Assumptions!E$191=2027,Assumptions!$F$181,1)*Assumptions!E$196*IF(Assumptions!E$192&lt;=3,1.15,IF(Assumptions!E$192=8,0.8,1)))</f>
        <v>72950.18</v>
      </c>
      <c r="F12" s="65" t="n">
        <f aca="false">IF(F$5="A",Inputs_Actuals!F298,Assumptions!$C$152*IF(Assumptions!F$191=2027,Assumptions!$F$181,1)*Assumptions!F$196*IF(Assumptions!F$192&lt;=3,1.15,IF(Assumptions!F$192=8,0.8,1)))</f>
        <v>76997.11</v>
      </c>
      <c r="G12" s="65" t="n">
        <f aca="false">IF(G$5="A",Inputs_Actuals!G298,Assumptions!$C$152*IF(Assumptions!G$191=2027,Assumptions!$F$181,1)*Assumptions!G$196*IF(Assumptions!G$192&lt;=3,1.15,IF(Assumptions!G$192=8,0.8,1)))</f>
        <v>70333.46</v>
      </c>
      <c r="H12" s="65" t="n">
        <f aca="false">IF(H$5="A",Inputs_Actuals!H298,Assumptions!$C$152*IF(Assumptions!H$191=2027,Assumptions!$F$181,1)*Assumptions!H$196*IF(Assumptions!H$192&lt;=3,1.15,IF(Assumptions!H$192=8,0.8,1)))</f>
        <v>69662.37</v>
      </c>
      <c r="I12" s="65" t="n">
        <f aca="false">IF(I$5="A",Inputs_Actuals!I298,Assumptions!$C$152*IF(Assumptions!I$191=2027,Assumptions!$F$181,1)*Assumptions!I$196*IF(Assumptions!I$192&lt;=3,1.15,IF(Assumptions!I$192=8,0.8,1)))</f>
        <v>63812.87</v>
      </c>
      <c r="J12" s="65" t="n">
        <f aca="false">IF(J$5="A",Inputs_Actuals!J298,Assumptions!$C$152*IF(Assumptions!J$191=2027,Assumptions!$F$181,1)*Assumptions!J$196*IF(Assumptions!J$192&lt;=3,1.15,IF(Assumptions!J$192=8,0.8,1)))</f>
        <v>70430.36</v>
      </c>
      <c r="K12" s="65" t="n">
        <f aca="false">IF(K$5="A",Inputs_Actuals!K298,Assumptions!$C$152*IF(Assumptions!K$191=2027,Assumptions!$F$181,1)*Assumptions!K$196*IF(Assumptions!K$192&lt;=3,1.15,IF(Assumptions!K$192=8,0.8,1)))</f>
        <v>68209.14</v>
      </c>
      <c r="L12" s="65" t="n">
        <f aca="false">IF(L$5="A",Inputs_Actuals!L298,Assumptions!$C$152*IF(Assumptions!L$191=2027,Assumptions!$F$181,1)*Assumptions!L$196*IF(Assumptions!L$192&lt;=3,1.15,IF(Assumptions!L$192=8,0.8,1)))</f>
        <v>53423.57</v>
      </c>
      <c r="M12" s="65" t="n">
        <f aca="false">IF(M$5="A",Inputs_Actuals!M298,Assumptions!$C$152*IF(Assumptions!M$191=2027,Assumptions!$F$181,1)*Assumptions!M$196*IF(Assumptions!M$192&lt;=3,1.15,IF(Assumptions!M$192=8,0.8,1)))</f>
        <v>66000</v>
      </c>
      <c r="N12" s="65" t="n">
        <f aca="false">IF(N$5="A",Inputs_Actuals!N298,Assumptions!$C$152*IF(Assumptions!N$191=2027,Assumptions!$F$181,1)*Assumptions!N$196*IF(Assumptions!N$192&lt;=3,1.15,IF(Assumptions!N$192=8,0.8,1)))</f>
        <v>66000</v>
      </c>
      <c r="O12" s="65" t="n">
        <f aca="false">IF(O$5="A",Inputs_Actuals!O298,Assumptions!$C$152*IF(Assumptions!O$191=2027,Assumptions!$F$181,1)*Assumptions!O$196*IF(Assumptions!O$192&lt;=3,1.15,IF(Assumptions!O$192=8,0.8,1)))</f>
        <v>66000</v>
      </c>
      <c r="P12" s="65" t="n">
        <f aca="false">IF(P$5="A",Inputs_Actuals!P298,Assumptions!$C$152*IF(Assumptions!P$191=2027,Assumptions!$F$181,1)*Assumptions!P$196*IF(Assumptions!P$192&lt;=3,1.15,IF(Assumptions!P$192=8,0.8,1)))</f>
        <v>66000</v>
      </c>
      <c r="Q12" s="65" t="n">
        <f aca="false">IF(Q$5="A",Inputs_Actuals!Q298,Assumptions!$C$152*IF(Assumptions!Q$191=2027,Assumptions!$F$181,1)*Assumptions!Q$196*IF(Assumptions!Q$192&lt;=3,1.15,IF(Assumptions!Q$192=8,0.8,1)))</f>
        <v>78177</v>
      </c>
      <c r="R12" s="65" t="n">
        <f aca="false">IF(R$5="A",Inputs_Actuals!R298,Assumptions!$C$152*IF(Assumptions!R$191=2027,Assumptions!$F$181,1)*Assumptions!R$196*IF(Assumptions!R$192&lt;=3,1.15,IF(Assumptions!R$192=8,0.8,1)))</f>
        <v>78177</v>
      </c>
      <c r="S12" s="65" t="n">
        <f aca="false">IF(S$5="A",Inputs_Actuals!S298,Assumptions!$C$152*IF(Assumptions!S$191=2027,Assumptions!$F$181,1)*Assumptions!S$196*IF(Assumptions!S$192&lt;=3,1.15,IF(Assumptions!S$192=8,0.8,1)))</f>
        <v>78177</v>
      </c>
      <c r="T12" s="65" t="n">
        <f aca="false">IF(T$5="A",Inputs_Actuals!T298,Assumptions!$C$152*IF(Assumptions!T$191=2027,Assumptions!$F$181,1)*Assumptions!T$196*IF(Assumptions!T$192&lt;=3,1.15,IF(Assumptions!T$192=8,0.8,1)))</f>
        <v>67980</v>
      </c>
      <c r="U12" s="65" t="n">
        <f aca="false">IF(U$5="A",Inputs_Actuals!U298,Assumptions!$C$152*IF(Assumptions!U$191=2027,Assumptions!$F$181,1)*Assumptions!U$196*IF(Assumptions!U$192&lt;=3,1.15,IF(Assumptions!U$192=8,0.8,1)))</f>
        <v>67980</v>
      </c>
      <c r="V12" s="65" t="n">
        <f aca="false">IF(V$5="A",Inputs_Actuals!V298,Assumptions!$C$152*IF(Assumptions!V$191=2027,Assumptions!$F$181,1)*Assumptions!V$196*IF(Assumptions!V$192&lt;=3,1.15,IF(Assumptions!V$192=8,0.8,1)))</f>
        <v>67980</v>
      </c>
      <c r="W12" s="65" t="n">
        <f aca="false">IF(W$5="A",Inputs_Actuals!W298,Assumptions!$C$152*IF(Assumptions!W$191=2027,Assumptions!$F$181,1)*Assumptions!W$196*IF(Assumptions!W$192&lt;=3,1.15,IF(Assumptions!W$192=8,0.8,1)))</f>
        <v>67980</v>
      </c>
      <c r="X12" s="65" t="n">
        <f aca="false">IF(X$5="A",Inputs_Actuals!X298,Assumptions!$C$152*IF(Assumptions!X$191=2027,Assumptions!$F$181,1)*Assumptions!X$196*IF(Assumptions!X$192&lt;=3,1.15,IF(Assumptions!X$192=8,0.8,1)))</f>
        <v>54384</v>
      </c>
      <c r="Y12" s="65" t="n">
        <f aca="false">IF(Y$5="A",Inputs_Actuals!Y298,Assumptions!$C$152*IF(Assumptions!Y$191=2027,Assumptions!$F$181,1)*Assumptions!Y$196*IF(Assumptions!Y$192&lt;=3,1.15,IF(Assumptions!Y$192=8,0.8,1)))</f>
        <v>67980</v>
      </c>
      <c r="Z12" s="65" t="n">
        <f aca="false">IF(Z$5="A",Inputs_Actuals!Z298,Assumptions!$C$152*IF(Assumptions!Z$191=2027,Assumptions!$F$181,1)*Assumptions!Z$196*IF(Assumptions!Z$192&lt;=3,1.15,IF(Assumptions!Z$192=8,0.8,1)))</f>
        <v>67980</v>
      </c>
      <c r="AA12" s="65" t="n">
        <f aca="false">IF(AA$5="A",Inputs_Actuals!AA298,Assumptions!$C$152*IF(Assumptions!AA$191=2027,Assumptions!$F$181,1)*Assumptions!AA$196*IF(Assumptions!AA$192&lt;=3,1.15,IF(Assumptions!AA$192=8,0.8,1)))</f>
        <v>67980</v>
      </c>
      <c r="AB12" s="65" t="n">
        <f aca="false">IF(AB$5="A",Inputs_Actuals!AB298,Assumptions!$C$152*IF(Assumptions!AB$191=2027,Assumptions!$F$181,1)*Assumptions!AB$196*IF(Assumptions!AB$192&lt;=3,1.15,IF(Assumptions!AB$192=8,0.8,1)))</f>
        <v>67980</v>
      </c>
    </row>
    <row r="13" customFormat="false" ht="15" hidden="false" customHeight="false" outlineLevel="0" collapsed="false">
      <c r="A13" s="28" t="s">
        <v>392</v>
      </c>
      <c r="B13" s="63" t="s">
        <v>1437</v>
      </c>
      <c r="C13" s="64" t="n">
        <f aca="false">SUM(E13:P13)</f>
        <v>304533.44</v>
      </c>
      <c r="D13" s="64" t="n">
        <f aca="false">SUM(Q13:AB13)</f>
        <v>318888</v>
      </c>
      <c r="E13" s="65" t="n">
        <f aca="false">IF(E$5="A",Inputs_Actuals!E299,Assumptions!$C$153*IF(Assumptions!E$191=2027,Assumptions!$F$181,1)*Assumptions!E$196*IF(Assumptions!E$192=5,1.9,1))</f>
        <v>23665.57</v>
      </c>
      <c r="F13" s="65" t="n">
        <f aca="false">IF(F$5="A",Inputs_Actuals!F299,Assumptions!$C$153*IF(Assumptions!F$191=2027,Assumptions!$F$181,1)*Assumptions!F$196*IF(Assumptions!F$192=5,1.9,1))</f>
        <v>23124.71</v>
      </c>
      <c r="G13" s="65" t="n">
        <f aca="false">IF(G$5="A",Inputs_Actuals!G299,Assumptions!$C$153*IF(Assumptions!G$191=2027,Assumptions!$F$181,1)*Assumptions!G$196*IF(Assumptions!G$192=5,1.9,1))</f>
        <v>26164.59</v>
      </c>
      <c r="H13" s="65" t="n">
        <f aca="false">IF(H$5="A",Inputs_Actuals!H299,Assumptions!$C$153*IF(Assumptions!H$191=2027,Assumptions!$F$181,1)*Assumptions!H$196*IF(Assumptions!H$192=5,1.9,1))</f>
        <v>19766.87</v>
      </c>
      <c r="I13" s="65" t="n">
        <f aca="false">IF(I$5="A",Inputs_Actuals!I299,Assumptions!$C$153*IF(Assumptions!I$191=2027,Assumptions!$F$181,1)*Assumptions!I$196*IF(Assumptions!I$192=5,1.9,1))</f>
        <v>45328.38</v>
      </c>
      <c r="J13" s="65" t="n">
        <f aca="false">IF(J$5="A",Inputs_Actuals!J299,Assumptions!$C$153*IF(Assumptions!J$191=2027,Assumptions!$F$181,1)*Assumptions!J$196*IF(Assumptions!J$192=5,1.9,1))</f>
        <v>25245.92</v>
      </c>
      <c r="K13" s="65" t="n">
        <f aca="false">IF(K$5="A",Inputs_Actuals!K299,Assumptions!$C$153*IF(Assumptions!K$191=2027,Assumptions!$F$181,1)*Assumptions!K$196*IF(Assumptions!K$192=5,1.9,1))</f>
        <v>23857.97</v>
      </c>
      <c r="L13" s="65" t="n">
        <f aca="false">IF(L$5="A",Inputs_Actuals!L299,Assumptions!$C$153*IF(Assumptions!L$191=2027,Assumptions!$F$181,1)*Assumptions!L$196*IF(Assumptions!L$192=5,1.9,1))</f>
        <v>21379.43</v>
      </c>
      <c r="M13" s="65" t="n">
        <f aca="false">IF(M$5="A",Inputs_Actuals!M299,Assumptions!$C$153*IF(Assumptions!M$191=2027,Assumptions!$F$181,1)*Assumptions!M$196*IF(Assumptions!M$192=5,1.9,1))</f>
        <v>24000</v>
      </c>
      <c r="N13" s="65" t="n">
        <f aca="false">IF(N$5="A",Inputs_Actuals!N299,Assumptions!$C$153*IF(Assumptions!N$191=2027,Assumptions!$F$181,1)*Assumptions!N$196*IF(Assumptions!N$192=5,1.9,1))</f>
        <v>24000</v>
      </c>
      <c r="O13" s="65" t="n">
        <f aca="false">IF(O$5="A",Inputs_Actuals!O299,Assumptions!$C$153*IF(Assumptions!O$191=2027,Assumptions!$F$181,1)*Assumptions!O$196*IF(Assumptions!O$192=5,1.9,1))</f>
        <v>24000</v>
      </c>
      <c r="P13" s="65" t="n">
        <f aca="false">IF(P$5="A",Inputs_Actuals!P299,Assumptions!$C$153*IF(Assumptions!P$191=2027,Assumptions!$F$181,1)*Assumptions!P$196*IF(Assumptions!P$192=5,1.9,1))</f>
        <v>24000</v>
      </c>
      <c r="Q13" s="65" t="n">
        <f aca="false">IF(Q$5="A",Inputs_Actuals!Q299,Assumptions!$C$153*IF(Assumptions!Q$191=2027,Assumptions!$F$181,1)*Assumptions!Q$196*IF(Assumptions!Q$192=5,1.9,1))</f>
        <v>24720</v>
      </c>
      <c r="R13" s="65" t="n">
        <f aca="false">IF(R$5="A",Inputs_Actuals!R299,Assumptions!$C$153*IF(Assumptions!R$191=2027,Assumptions!$F$181,1)*Assumptions!R$196*IF(Assumptions!R$192=5,1.9,1))</f>
        <v>24720</v>
      </c>
      <c r="S13" s="65" t="n">
        <f aca="false">IF(S$5="A",Inputs_Actuals!S299,Assumptions!$C$153*IF(Assumptions!S$191=2027,Assumptions!$F$181,1)*Assumptions!S$196*IF(Assumptions!S$192=5,1.9,1))</f>
        <v>24720</v>
      </c>
      <c r="T13" s="65" t="n">
        <f aca="false">IF(T$5="A",Inputs_Actuals!T299,Assumptions!$C$153*IF(Assumptions!T$191=2027,Assumptions!$F$181,1)*Assumptions!T$196*IF(Assumptions!T$192=5,1.9,1))</f>
        <v>24720</v>
      </c>
      <c r="U13" s="65" t="n">
        <f aca="false">IF(U$5="A",Inputs_Actuals!U299,Assumptions!$C$153*IF(Assumptions!U$191=2027,Assumptions!$F$181,1)*Assumptions!U$196*IF(Assumptions!U$192=5,1.9,1))</f>
        <v>46968</v>
      </c>
      <c r="V13" s="65" t="n">
        <f aca="false">IF(V$5="A",Inputs_Actuals!V299,Assumptions!$C$153*IF(Assumptions!V$191=2027,Assumptions!$F$181,1)*Assumptions!V$196*IF(Assumptions!V$192=5,1.9,1))</f>
        <v>24720</v>
      </c>
      <c r="W13" s="65" t="n">
        <f aca="false">IF(W$5="A",Inputs_Actuals!W299,Assumptions!$C$153*IF(Assumptions!W$191=2027,Assumptions!$F$181,1)*Assumptions!W$196*IF(Assumptions!W$192=5,1.9,1))</f>
        <v>24720</v>
      </c>
      <c r="X13" s="65" t="n">
        <f aca="false">IF(X$5="A",Inputs_Actuals!X299,Assumptions!$C$153*IF(Assumptions!X$191=2027,Assumptions!$F$181,1)*Assumptions!X$196*IF(Assumptions!X$192=5,1.9,1))</f>
        <v>24720</v>
      </c>
      <c r="Y13" s="65" t="n">
        <f aca="false">IF(Y$5="A",Inputs_Actuals!Y299,Assumptions!$C$153*IF(Assumptions!Y$191=2027,Assumptions!$F$181,1)*Assumptions!Y$196*IF(Assumptions!Y$192=5,1.9,1))</f>
        <v>24720</v>
      </c>
      <c r="Z13" s="65" t="n">
        <f aca="false">IF(Z$5="A",Inputs_Actuals!Z299,Assumptions!$C$153*IF(Assumptions!Z$191=2027,Assumptions!$F$181,1)*Assumptions!Z$196*IF(Assumptions!Z$192=5,1.9,1))</f>
        <v>24720</v>
      </c>
      <c r="AA13" s="65" t="n">
        <f aca="false">IF(AA$5="A",Inputs_Actuals!AA299,Assumptions!$C$153*IF(Assumptions!AA$191=2027,Assumptions!$F$181,1)*Assumptions!AA$196*IF(Assumptions!AA$192=5,1.9,1))</f>
        <v>24720</v>
      </c>
      <c r="AB13" s="65" t="n">
        <f aca="false">IF(AB$5="A",Inputs_Actuals!AB299,Assumptions!$C$153*IF(Assumptions!AB$191=2027,Assumptions!$F$181,1)*Assumptions!AB$196*IF(Assumptions!AB$192=5,1.9,1))</f>
        <v>24720</v>
      </c>
    </row>
    <row r="14" customFormat="false" ht="15" hidden="false" customHeight="false" outlineLevel="0" collapsed="false">
      <c r="A14" s="28" t="s">
        <v>396</v>
      </c>
      <c r="B14" s="63" t="s">
        <v>1437</v>
      </c>
      <c r="C14" s="64" t="n">
        <f aca="false">SUM(E14:P14)</f>
        <v>186000</v>
      </c>
      <c r="D14" s="64" t="n">
        <f aca="false">SUM(Q14:AB14)</f>
        <v>191580</v>
      </c>
      <c r="E14" s="65" t="n">
        <f aca="false">IF(E$5="A",Inputs_Actuals!E300,Assumptions!$C$154*Assumptions!E$196)</f>
        <v>15500</v>
      </c>
      <c r="F14" s="65" t="n">
        <f aca="false">IF(F$5="A",Inputs_Actuals!F300,Assumptions!$C$154*Assumptions!F$196)</f>
        <v>15500</v>
      </c>
      <c r="G14" s="65" t="n">
        <f aca="false">IF(G$5="A",Inputs_Actuals!G300,Assumptions!$C$154*Assumptions!G$196)</f>
        <v>15500</v>
      </c>
      <c r="H14" s="65" t="n">
        <f aca="false">IF(H$5="A",Inputs_Actuals!H300,Assumptions!$C$154*Assumptions!H$196)</f>
        <v>15500</v>
      </c>
      <c r="I14" s="65" t="n">
        <f aca="false">IF(I$5="A",Inputs_Actuals!I300,Assumptions!$C$154*Assumptions!I$196)</f>
        <v>15500</v>
      </c>
      <c r="J14" s="65" t="n">
        <f aca="false">IF(J$5="A",Inputs_Actuals!J300,Assumptions!$C$154*Assumptions!J$196)</f>
        <v>15500</v>
      </c>
      <c r="K14" s="65" t="n">
        <f aca="false">IF(K$5="A",Inputs_Actuals!K300,Assumptions!$C$154*Assumptions!K$196)</f>
        <v>15500</v>
      </c>
      <c r="L14" s="65" t="n">
        <f aca="false">IF(L$5="A",Inputs_Actuals!L300,Assumptions!$C$154*Assumptions!L$196)</f>
        <v>15500</v>
      </c>
      <c r="M14" s="65" t="n">
        <f aca="false">IF(M$5="A",Inputs_Actuals!M300,Assumptions!$C$154*Assumptions!M$196)</f>
        <v>15500</v>
      </c>
      <c r="N14" s="65" t="n">
        <f aca="false">IF(N$5="A",Inputs_Actuals!N300,Assumptions!$C$154*Assumptions!N$196)</f>
        <v>15500</v>
      </c>
      <c r="O14" s="65" t="n">
        <f aca="false">IF(O$5="A",Inputs_Actuals!O300,Assumptions!$C$154*Assumptions!O$196)</f>
        <v>15500</v>
      </c>
      <c r="P14" s="65" t="n">
        <f aca="false">IF(P$5="A",Inputs_Actuals!P300,Assumptions!$C$154*Assumptions!P$196)</f>
        <v>15500</v>
      </c>
      <c r="Q14" s="65" t="n">
        <f aca="false">IF(Q$5="A",Inputs_Actuals!Q300,Assumptions!$C$154*Assumptions!Q$196)</f>
        <v>15965</v>
      </c>
      <c r="R14" s="65" t="n">
        <f aca="false">IF(R$5="A",Inputs_Actuals!R300,Assumptions!$C$154*Assumptions!R$196)</f>
        <v>15965</v>
      </c>
      <c r="S14" s="65" t="n">
        <f aca="false">IF(S$5="A",Inputs_Actuals!S300,Assumptions!$C$154*Assumptions!S$196)</f>
        <v>15965</v>
      </c>
      <c r="T14" s="65" t="n">
        <f aca="false">IF(T$5="A",Inputs_Actuals!T300,Assumptions!$C$154*Assumptions!T$196)</f>
        <v>15965</v>
      </c>
      <c r="U14" s="65" t="n">
        <f aca="false">IF(U$5="A",Inputs_Actuals!U300,Assumptions!$C$154*Assumptions!U$196)</f>
        <v>15965</v>
      </c>
      <c r="V14" s="65" t="n">
        <f aca="false">IF(V$5="A",Inputs_Actuals!V300,Assumptions!$C$154*Assumptions!V$196)</f>
        <v>15965</v>
      </c>
      <c r="W14" s="65" t="n">
        <f aca="false">IF(W$5="A",Inputs_Actuals!W300,Assumptions!$C$154*Assumptions!W$196)</f>
        <v>15965</v>
      </c>
      <c r="X14" s="65" t="n">
        <f aca="false">IF(X$5="A",Inputs_Actuals!X300,Assumptions!$C$154*Assumptions!X$196)</f>
        <v>15965</v>
      </c>
      <c r="Y14" s="65" t="n">
        <f aca="false">IF(Y$5="A",Inputs_Actuals!Y300,Assumptions!$C$154*Assumptions!Y$196)</f>
        <v>15965</v>
      </c>
      <c r="Z14" s="65" t="n">
        <f aca="false">IF(Z$5="A",Inputs_Actuals!Z300,Assumptions!$C$154*Assumptions!Z$196)</f>
        <v>15965</v>
      </c>
      <c r="AA14" s="65" t="n">
        <f aca="false">IF(AA$5="A",Inputs_Actuals!AA300,Assumptions!$C$154*Assumptions!AA$196)</f>
        <v>15965</v>
      </c>
      <c r="AB14" s="65" t="n">
        <f aca="false">IF(AB$5="A",Inputs_Actuals!AB300,Assumptions!$C$154*Assumptions!AB$196)</f>
        <v>15965</v>
      </c>
    </row>
    <row r="15" customFormat="false" ht="15" hidden="false" customHeight="false" outlineLevel="0" collapsed="false">
      <c r="A15" s="28" t="s">
        <v>397</v>
      </c>
      <c r="B15" s="63" t="s">
        <v>1437</v>
      </c>
      <c r="C15" s="64" t="n">
        <f aca="false">SUM(E15:P15)</f>
        <v>155697.6</v>
      </c>
      <c r="D15" s="64" t="n">
        <f aca="false">SUM(Q15:AB15)</f>
        <v>158723</v>
      </c>
      <c r="E15" s="65" t="n">
        <f aca="false">IF(E$5="A",Inputs_Actuals!E301,Assumptions!$C$155*Assumptions!E$196*IF(Assumptions!E$192=3,2.4,1))</f>
        <v>10714.65</v>
      </c>
      <c r="F15" s="65" t="n">
        <f aca="false">IF(F$5="A",Inputs_Actuals!F301,Assumptions!$C$155*Assumptions!F$196*IF(Assumptions!F$192=3,2.4,1))</f>
        <v>11942.07</v>
      </c>
      <c r="G15" s="65" t="n">
        <f aca="false">IF(G$5="A",Inputs_Actuals!G301,Assumptions!$C$155*Assumptions!G$196*IF(Assumptions!G$192=3,2.4,1))</f>
        <v>29424.51</v>
      </c>
      <c r="H15" s="65" t="n">
        <f aca="false">IF(H$5="A",Inputs_Actuals!H301,Assumptions!$C$155*Assumptions!H$196*IF(Assumptions!H$192=3,2.4,1))</f>
        <v>11509.22</v>
      </c>
      <c r="I15" s="65" t="n">
        <f aca="false">IF(I$5="A",Inputs_Actuals!I301,Assumptions!$C$155*Assumptions!I$196*IF(Assumptions!I$192=3,2.4,1))</f>
        <v>11345.99</v>
      </c>
      <c r="J15" s="65" t="n">
        <f aca="false">IF(J$5="A",Inputs_Actuals!J301,Assumptions!$C$155*Assumptions!J$196*IF(Assumptions!J$192=3,2.4,1))</f>
        <v>11744.15</v>
      </c>
      <c r="K15" s="65" t="n">
        <f aca="false">IF(K$5="A",Inputs_Actuals!K301,Assumptions!$C$155*Assumptions!K$196*IF(Assumptions!K$192=3,2.4,1))</f>
        <v>11246.69</v>
      </c>
      <c r="L15" s="65" t="n">
        <f aca="false">IF(L$5="A",Inputs_Actuals!L301,Assumptions!$C$155*Assumptions!L$196*IF(Assumptions!L$192=3,2.4,1))</f>
        <v>11770.32</v>
      </c>
      <c r="M15" s="65" t="n">
        <f aca="false">IF(M$5="A",Inputs_Actuals!M301,Assumptions!$C$155*Assumptions!M$196*IF(Assumptions!M$192=3,2.4,1))</f>
        <v>11500</v>
      </c>
      <c r="N15" s="65" t="n">
        <f aca="false">IF(N$5="A",Inputs_Actuals!N301,Assumptions!$C$155*Assumptions!N$196*IF(Assumptions!N$192=3,2.4,1))</f>
        <v>11500</v>
      </c>
      <c r="O15" s="65" t="n">
        <f aca="false">IF(O$5="A",Inputs_Actuals!O301,Assumptions!$C$155*Assumptions!O$196*IF(Assumptions!O$192=3,2.4,1))</f>
        <v>11500</v>
      </c>
      <c r="P15" s="65" t="n">
        <f aca="false">IF(P$5="A",Inputs_Actuals!P301,Assumptions!$C$155*Assumptions!P$196*IF(Assumptions!P$192=3,2.4,1))</f>
        <v>11500</v>
      </c>
      <c r="Q15" s="65" t="n">
        <f aca="false">IF(Q$5="A",Inputs_Actuals!Q301,Assumptions!$C$155*Assumptions!Q$196*IF(Assumptions!Q$192=3,2.4,1))</f>
        <v>11845</v>
      </c>
      <c r="R15" s="65" t="n">
        <f aca="false">IF(R$5="A",Inputs_Actuals!R301,Assumptions!$C$155*Assumptions!R$196*IF(Assumptions!R$192=3,2.4,1))</f>
        <v>11845</v>
      </c>
      <c r="S15" s="65" t="n">
        <f aca="false">IF(S$5="A",Inputs_Actuals!S301,Assumptions!$C$155*Assumptions!S$196*IF(Assumptions!S$192=3,2.4,1))</f>
        <v>28428</v>
      </c>
      <c r="T15" s="65" t="n">
        <f aca="false">IF(T$5="A",Inputs_Actuals!T301,Assumptions!$C$155*Assumptions!T$196*IF(Assumptions!T$192=3,2.4,1))</f>
        <v>11845</v>
      </c>
      <c r="U15" s="65" t="n">
        <f aca="false">IF(U$5="A",Inputs_Actuals!U301,Assumptions!$C$155*Assumptions!U$196*IF(Assumptions!U$192=3,2.4,1))</f>
        <v>11845</v>
      </c>
      <c r="V15" s="65" t="n">
        <f aca="false">IF(V$5="A",Inputs_Actuals!V301,Assumptions!$C$155*Assumptions!V$196*IF(Assumptions!V$192=3,2.4,1))</f>
        <v>11845</v>
      </c>
      <c r="W15" s="65" t="n">
        <f aca="false">IF(W$5="A",Inputs_Actuals!W301,Assumptions!$C$155*Assumptions!W$196*IF(Assumptions!W$192=3,2.4,1))</f>
        <v>11845</v>
      </c>
      <c r="X15" s="65" t="n">
        <f aca="false">IF(X$5="A",Inputs_Actuals!X301,Assumptions!$C$155*Assumptions!X$196*IF(Assumptions!X$192=3,2.4,1))</f>
        <v>11845</v>
      </c>
      <c r="Y15" s="65" t="n">
        <f aca="false">IF(Y$5="A",Inputs_Actuals!Y301,Assumptions!$C$155*Assumptions!Y$196*IF(Assumptions!Y$192=3,2.4,1))</f>
        <v>11845</v>
      </c>
      <c r="Z15" s="65" t="n">
        <f aca="false">IF(Z$5="A",Inputs_Actuals!Z301,Assumptions!$C$155*Assumptions!Z$196*IF(Assumptions!Z$192=3,2.4,1))</f>
        <v>11845</v>
      </c>
      <c r="AA15" s="65" t="n">
        <f aca="false">IF(AA$5="A",Inputs_Actuals!AA301,Assumptions!$C$155*Assumptions!AA$196*IF(Assumptions!AA$192=3,2.4,1))</f>
        <v>11845</v>
      </c>
      <c r="AB15" s="65" t="n">
        <f aca="false">IF(AB$5="A",Inputs_Actuals!AB301,Assumptions!$C$155*Assumptions!AB$196*IF(Assumptions!AB$192=3,2.4,1))</f>
        <v>11845</v>
      </c>
    </row>
    <row r="16" customFormat="false" ht="15" hidden="false" customHeight="false" outlineLevel="0" collapsed="false">
      <c r="A16" s="28" t="s">
        <v>398</v>
      </c>
      <c r="B16" s="63" t="s">
        <v>1438</v>
      </c>
      <c r="C16" s="64" t="n">
        <f aca="false">SUM(E16:P16)</f>
        <v>38400</v>
      </c>
      <c r="D16" s="64" t="n">
        <f aca="false">SUM(Q16:AB16)</f>
        <v>39552</v>
      </c>
      <c r="E16" s="65" t="n">
        <f aca="false">IF(E$5="A",Inputs_Actuals!E302,Assumptions!$C$156*Assumptions!E$196)</f>
        <v>3200</v>
      </c>
      <c r="F16" s="65" t="n">
        <f aca="false">IF(F$5="A",Inputs_Actuals!F302,Assumptions!$C$156*Assumptions!F$196)</f>
        <v>3200</v>
      </c>
      <c r="G16" s="65" t="n">
        <f aca="false">IF(G$5="A",Inputs_Actuals!G302,Assumptions!$C$156*Assumptions!G$196)</f>
        <v>3200</v>
      </c>
      <c r="H16" s="65" t="n">
        <f aca="false">IF(H$5="A",Inputs_Actuals!H302,Assumptions!$C$156*Assumptions!H$196)</f>
        <v>3200</v>
      </c>
      <c r="I16" s="65" t="n">
        <f aca="false">IF(I$5="A",Inputs_Actuals!I302,Assumptions!$C$156*Assumptions!I$196)</f>
        <v>3200</v>
      </c>
      <c r="J16" s="65" t="n">
        <f aca="false">IF(J$5="A",Inputs_Actuals!J302,Assumptions!$C$156*Assumptions!J$196)</f>
        <v>3200</v>
      </c>
      <c r="K16" s="65" t="n">
        <f aca="false">IF(K$5="A",Inputs_Actuals!K302,Assumptions!$C$156*Assumptions!K$196)</f>
        <v>3200</v>
      </c>
      <c r="L16" s="65" t="n">
        <f aca="false">IF(L$5="A",Inputs_Actuals!L302,Assumptions!$C$156*Assumptions!L$196)</f>
        <v>3200</v>
      </c>
      <c r="M16" s="65" t="n">
        <f aca="false">IF(M$5="A",Inputs_Actuals!M302,Assumptions!$C$156*Assumptions!M$196)</f>
        <v>3200</v>
      </c>
      <c r="N16" s="65" t="n">
        <f aca="false">IF(N$5="A",Inputs_Actuals!N302,Assumptions!$C$156*Assumptions!N$196)</f>
        <v>3200</v>
      </c>
      <c r="O16" s="65" t="n">
        <f aca="false">IF(O$5="A",Inputs_Actuals!O302,Assumptions!$C$156*Assumptions!O$196)</f>
        <v>3200</v>
      </c>
      <c r="P16" s="65" t="n">
        <f aca="false">IF(P$5="A",Inputs_Actuals!P302,Assumptions!$C$156*Assumptions!P$196)</f>
        <v>3200</v>
      </c>
      <c r="Q16" s="65" t="n">
        <f aca="false">IF(Q$5="A",Inputs_Actuals!Q302,Assumptions!$C$156*Assumptions!Q$196)</f>
        <v>3296</v>
      </c>
      <c r="R16" s="65" t="n">
        <f aca="false">IF(R$5="A",Inputs_Actuals!R302,Assumptions!$C$156*Assumptions!R$196)</f>
        <v>3296</v>
      </c>
      <c r="S16" s="65" t="n">
        <f aca="false">IF(S$5="A",Inputs_Actuals!S302,Assumptions!$C$156*Assumptions!S$196)</f>
        <v>3296</v>
      </c>
      <c r="T16" s="65" t="n">
        <f aca="false">IF(T$5="A",Inputs_Actuals!T302,Assumptions!$C$156*Assumptions!T$196)</f>
        <v>3296</v>
      </c>
      <c r="U16" s="65" t="n">
        <f aca="false">IF(U$5="A",Inputs_Actuals!U302,Assumptions!$C$156*Assumptions!U$196)</f>
        <v>3296</v>
      </c>
      <c r="V16" s="65" t="n">
        <f aca="false">IF(V$5="A",Inputs_Actuals!V302,Assumptions!$C$156*Assumptions!V$196)</f>
        <v>3296</v>
      </c>
      <c r="W16" s="65" t="n">
        <f aca="false">IF(W$5="A",Inputs_Actuals!W302,Assumptions!$C$156*Assumptions!W$196)</f>
        <v>3296</v>
      </c>
      <c r="X16" s="65" t="n">
        <f aca="false">IF(X$5="A",Inputs_Actuals!X302,Assumptions!$C$156*Assumptions!X$196)</f>
        <v>3296</v>
      </c>
      <c r="Y16" s="65" t="n">
        <f aca="false">IF(Y$5="A",Inputs_Actuals!Y302,Assumptions!$C$156*Assumptions!Y$196)</f>
        <v>3296</v>
      </c>
      <c r="Z16" s="65" t="n">
        <f aca="false">IF(Z$5="A",Inputs_Actuals!Z302,Assumptions!$C$156*Assumptions!Z$196)</f>
        <v>3296</v>
      </c>
      <c r="AA16" s="65" t="n">
        <f aca="false">IF(AA$5="A",Inputs_Actuals!AA302,Assumptions!$C$156*Assumptions!AA$196)</f>
        <v>3296</v>
      </c>
      <c r="AB16" s="65" t="n">
        <f aca="false">IF(AB$5="A",Inputs_Actuals!AB302,Assumptions!$C$156*Assumptions!AB$196)</f>
        <v>3296</v>
      </c>
    </row>
    <row r="17" customFormat="false" ht="15" hidden="false" customHeight="false" outlineLevel="0" collapsed="false">
      <c r="A17" s="28" t="s">
        <v>399</v>
      </c>
      <c r="B17" s="63" t="s">
        <v>1437</v>
      </c>
      <c r="C17" s="64" t="n">
        <f aca="false">SUM(E17:P17)</f>
        <v>83242.58125</v>
      </c>
      <c r="D17" s="64" t="n">
        <f aca="false">SUM(Q17:AB17)</f>
        <v>138023.693999453</v>
      </c>
      <c r="E17" s="65" t="n">
        <f aca="false">IF(E$5="A",Inputs_Actuals!E303,People!E219+600)</f>
        <v>5110.09</v>
      </c>
      <c r="F17" s="65" t="n">
        <f aca="false">IF(F$5="A",Inputs_Actuals!F303,People!F219+600)</f>
        <v>10213.4</v>
      </c>
      <c r="G17" s="65" t="n">
        <f aca="false">IF(G$5="A",Inputs_Actuals!G303,People!G219+600)</f>
        <v>9138.27</v>
      </c>
      <c r="H17" s="65" t="n">
        <f aca="false">IF(H$5="A",Inputs_Actuals!H303,People!H219+600)</f>
        <v>11348.65</v>
      </c>
      <c r="I17" s="65" t="n">
        <f aca="false">IF(I$5="A",Inputs_Actuals!I303,People!I219+600)</f>
        <v>10392.3</v>
      </c>
      <c r="J17" s="65" t="n">
        <f aca="false">IF(J$5="A",Inputs_Actuals!J303,People!J219+600)</f>
        <v>4921.61</v>
      </c>
      <c r="K17" s="65" t="n">
        <f aca="false">IF(K$5="A",Inputs_Actuals!K303,People!K219+600)</f>
        <v>5374.53</v>
      </c>
      <c r="L17" s="65" t="n">
        <f aca="false">IF(L$5="A",Inputs_Actuals!L303,People!L219+600)</f>
        <v>600</v>
      </c>
      <c r="M17" s="65" t="n">
        <f aca="false">IF(M$5="A",Inputs_Actuals!M303,People!M219+600)</f>
        <v>5100</v>
      </c>
      <c r="N17" s="65" t="n">
        <f aca="false">IF(N$5="A",Inputs_Actuals!N303,People!N219+600)</f>
        <v>5100</v>
      </c>
      <c r="O17" s="65" t="n">
        <f aca="false">IF(O$5="A",Inputs_Actuals!O303,People!O219+600)</f>
        <v>10237.5</v>
      </c>
      <c r="P17" s="65" t="n">
        <f aca="false">IF(P$5="A",Inputs_Actuals!P303,People!P219+600)</f>
        <v>5706.23125</v>
      </c>
      <c r="Q17" s="65" t="n">
        <f aca="false">IF(Q$5="A",Inputs_Actuals!Q303,People!Q219+600)</f>
        <v>37187.0369270833</v>
      </c>
      <c r="R17" s="65" t="n">
        <f aca="false">IF(R$5="A",Inputs_Actuals!R303,People!R219+600)</f>
        <v>5782.16391737413</v>
      </c>
      <c r="S17" s="65" t="n">
        <f aca="false">IF(S$5="A",Inputs_Actuals!S303,People!S219+600)</f>
        <v>14780.7305702602</v>
      </c>
      <c r="T17" s="65" t="n">
        <f aca="false">IF(T$5="A",Inputs_Actuals!T303,People!T219+600)</f>
        <v>10695.0220369742</v>
      </c>
      <c r="U17" s="65" t="n">
        <f aca="false">IF(U$5="A",Inputs_Actuals!U303,People!U219+600)</f>
        <v>15188.8184288974</v>
      </c>
      <c r="V17" s="65" t="n">
        <f aca="false">IF(V$5="A",Inputs_Actuals!V303,People!V219+600)</f>
        <v>6332.69233063264</v>
      </c>
      <c r="W17" s="65" t="n">
        <f aca="false">IF(W$5="A",Inputs_Actuals!W303,People!W219+600)</f>
        <v>6375.24445432321</v>
      </c>
      <c r="X17" s="65" t="n">
        <f aca="false">IF(X$5="A",Inputs_Actuals!X303,People!X219+600)</f>
        <v>6522.2873301768</v>
      </c>
      <c r="Y17" s="65" t="n">
        <f aca="false">IF(Y$5="A",Inputs_Actuals!Y303,People!Y219+600)</f>
        <v>15519.2779089595</v>
      </c>
      <c r="Z17" s="65" t="n">
        <f aca="false">IF(Z$5="A",Inputs_Actuals!Z303,People!Z219+600)</f>
        <v>6516.72499712238</v>
      </c>
      <c r="AA17" s="65" t="n">
        <f aca="false">IF(AA$5="A",Inputs_Actuals!AA303,People!AA219+600)</f>
        <v>6516.82471008153</v>
      </c>
      <c r="AB17" s="65" t="n">
        <f aca="false">IF(AB$5="A",Inputs_Actuals!AB303,People!AB219+600)</f>
        <v>6606.87038756739</v>
      </c>
    </row>
    <row r="18" customFormat="false" ht="15" hidden="false" customHeight="false" outlineLevel="0" collapsed="false">
      <c r="A18" s="28" t="s">
        <v>400</v>
      </c>
      <c r="B18" s="63" t="s">
        <v>1439</v>
      </c>
      <c r="C18" s="64" t="n">
        <f aca="false">SUM(E18:P18)</f>
        <v>128464.13</v>
      </c>
      <c r="D18" s="64" t="n">
        <f aca="false">SUM(Q18:AB18)</f>
        <v>129780</v>
      </c>
      <c r="E18" s="65" t="n">
        <f aca="false">IF(E$5="A",Inputs_Actuals!E304,Assumptions!$C$157*Assumptions!E$196)</f>
        <v>10528.67</v>
      </c>
      <c r="F18" s="65" t="n">
        <f aca="false">IF(F$5="A",Inputs_Actuals!F304,Assumptions!$C$157*Assumptions!F$196)</f>
        <v>11072.08</v>
      </c>
      <c r="G18" s="65" t="n">
        <f aca="false">IF(G$5="A",Inputs_Actuals!G304,Assumptions!$C$157*Assumptions!G$196)</f>
        <v>9984.97</v>
      </c>
      <c r="H18" s="65" t="n">
        <f aca="false">IF(H$5="A",Inputs_Actuals!H304,Assumptions!$C$157*Assumptions!H$196)</f>
        <v>11371.46</v>
      </c>
      <c r="I18" s="65" t="n">
        <f aca="false">IF(I$5="A",Inputs_Actuals!I304,Assumptions!$C$157*Assumptions!I$196)</f>
        <v>8708.79</v>
      </c>
      <c r="J18" s="65" t="n">
        <f aca="false">IF(J$5="A",Inputs_Actuals!J304,Assumptions!$C$157*Assumptions!J$196)</f>
        <v>10869.42</v>
      </c>
      <c r="K18" s="65" t="n">
        <f aca="false">IF(K$5="A",Inputs_Actuals!K304,Assumptions!$C$157*Assumptions!K$196)</f>
        <v>10935.18</v>
      </c>
      <c r="L18" s="65" t="n">
        <f aca="false">IF(L$5="A",Inputs_Actuals!L304,Assumptions!$C$157*Assumptions!L$196)</f>
        <v>12993.56</v>
      </c>
      <c r="M18" s="65" t="n">
        <f aca="false">IF(M$5="A",Inputs_Actuals!M304,Assumptions!$C$157*Assumptions!M$196)</f>
        <v>10500</v>
      </c>
      <c r="N18" s="65" t="n">
        <f aca="false">IF(N$5="A",Inputs_Actuals!N304,Assumptions!$C$157*Assumptions!N$196)</f>
        <v>10500</v>
      </c>
      <c r="O18" s="65" t="n">
        <f aca="false">IF(O$5="A",Inputs_Actuals!O304,Assumptions!$C$157*Assumptions!O$196)</f>
        <v>10500</v>
      </c>
      <c r="P18" s="65" t="n">
        <f aca="false">IF(P$5="A",Inputs_Actuals!P304,Assumptions!$C$157*Assumptions!P$196)</f>
        <v>10500</v>
      </c>
      <c r="Q18" s="65" t="n">
        <f aca="false">IF(Q$5="A",Inputs_Actuals!Q304,Assumptions!$C$157*Assumptions!Q$196)</f>
        <v>10815</v>
      </c>
      <c r="R18" s="65" t="n">
        <f aca="false">IF(R$5="A",Inputs_Actuals!R304,Assumptions!$C$157*Assumptions!R$196)</f>
        <v>10815</v>
      </c>
      <c r="S18" s="65" t="n">
        <f aca="false">IF(S$5="A",Inputs_Actuals!S304,Assumptions!$C$157*Assumptions!S$196)</f>
        <v>10815</v>
      </c>
      <c r="T18" s="65" t="n">
        <f aca="false">IF(T$5="A",Inputs_Actuals!T304,Assumptions!$C$157*Assumptions!T$196)</f>
        <v>10815</v>
      </c>
      <c r="U18" s="65" t="n">
        <f aca="false">IF(U$5="A",Inputs_Actuals!U304,Assumptions!$C$157*Assumptions!U$196)</f>
        <v>10815</v>
      </c>
      <c r="V18" s="65" t="n">
        <f aca="false">IF(V$5="A",Inputs_Actuals!V304,Assumptions!$C$157*Assumptions!V$196)</f>
        <v>10815</v>
      </c>
      <c r="W18" s="65" t="n">
        <f aca="false">IF(W$5="A",Inputs_Actuals!W304,Assumptions!$C$157*Assumptions!W$196)</f>
        <v>10815</v>
      </c>
      <c r="X18" s="65" t="n">
        <f aca="false">IF(X$5="A",Inputs_Actuals!X304,Assumptions!$C$157*Assumptions!X$196)</f>
        <v>10815</v>
      </c>
      <c r="Y18" s="65" t="n">
        <f aca="false">IF(Y$5="A",Inputs_Actuals!Y304,Assumptions!$C$157*Assumptions!Y$196)</f>
        <v>10815</v>
      </c>
      <c r="Z18" s="65" t="n">
        <f aca="false">IF(Z$5="A",Inputs_Actuals!Z304,Assumptions!$C$157*Assumptions!Z$196)</f>
        <v>10815</v>
      </c>
      <c r="AA18" s="65" t="n">
        <f aca="false">IF(AA$5="A",Inputs_Actuals!AA304,Assumptions!$C$157*Assumptions!AA$196)</f>
        <v>10815</v>
      </c>
      <c r="AB18" s="65" t="n">
        <f aca="false">IF(AB$5="A",Inputs_Actuals!AB304,Assumptions!$C$157*Assumptions!AB$196)</f>
        <v>10815</v>
      </c>
    </row>
    <row r="19" customFormat="false" ht="15" hidden="false" customHeight="false" outlineLevel="0" collapsed="false">
      <c r="A19" s="59" t="s">
        <v>1440</v>
      </c>
      <c r="B19" s="60"/>
      <c r="C19" s="61" t="n">
        <f aca="false">SUM(E19:P19)</f>
        <v>2372186.38669431</v>
      </c>
      <c r="D19" s="61" t="n">
        <f aca="false">SUM(Q19:AB19)</f>
        <v>2598363.3856161</v>
      </c>
      <c r="E19" s="61" t="n">
        <f aca="false">SUM(E9:E18)</f>
        <v>194102.21</v>
      </c>
      <c r="F19" s="61" t="n">
        <f aca="false">SUM(F9:F18)</f>
        <v>205564.62</v>
      </c>
      <c r="G19" s="61" t="n">
        <f aca="false">SUM(G9:G18)</f>
        <v>216143.67</v>
      </c>
      <c r="H19" s="61" t="n">
        <f aca="false">SUM(H9:H18)</f>
        <v>196648.96</v>
      </c>
      <c r="I19" s="61" t="n">
        <f aca="false">SUM(I9:I18)</f>
        <v>212992.02</v>
      </c>
      <c r="J19" s="61" t="n">
        <f aca="false">SUM(J9:J18)</f>
        <v>197739.33</v>
      </c>
      <c r="K19" s="61" t="n">
        <f aca="false">SUM(K9:K18)</f>
        <v>193557.91</v>
      </c>
      <c r="L19" s="61" t="n">
        <f aca="false">SUM(L9:L18)</f>
        <v>175944.79</v>
      </c>
      <c r="M19" s="61" t="n">
        <f aca="false">SUM(M9:M18)</f>
        <v>192604.458961068</v>
      </c>
      <c r="N19" s="61" t="n">
        <f aca="false">SUM(N9:N18)</f>
        <v>193013.104713765</v>
      </c>
      <c r="O19" s="61" t="n">
        <f aca="false">SUM(O9:O18)</f>
        <v>198952.535383254</v>
      </c>
      <c r="P19" s="61" t="n">
        <f aca="false">SUM(P9:P18)</f>
        <v>194922.777636227</v>
      </c>
      <c r="Q19" s="61" t="n">
        <f aca="false">SUM(Q9:Q18)</f>
        <v>244040.356329835</v>
      </c>
      <c r="R19" s="61" t="n">
        <f aca="false">SUM(R9:R18)</f>
        <v>213155.04700367</v>
      </c>
      <c r="S19" s="61" t="n">
        <f aca="false">SUM(S9:S18)</f>
        <v>239718.350127172</v>
      </c>
      <c r="T19" s="61" t="n">
        <f aca="false">SUM(T9:T18)</f>
        <v>209596.615270706</v>
      </c>
      <c r="U19" s="61" t="n">
        <f aca="false">SUM(U9:U18)</f>
        <v>237168.307232103</v>
      </c>
      <c r="V19" s="61" t="n">
        <f aca="false">SUM(V9:V18)</f>
        <v>206573.056615433</v>
      </c>
      <c r="W19" s="61" t="n">
        <f aca="false">SUM(W9:W18)</f>
        <v>207072.523310326</v>
      </c>
      <c r="X19" s="61" t="n">
        <f aca="false">SUM(X9:X18)</f>
        <v>194000.009240787</v>
      </c>
      <c r="Y19" s="61" t="n">
        <f aca="false">SUM(Y9:Y18)</f>
        <v>217647.431716584</v>
      </c>
      <c r="Z19" s="61" t="n">
        <f aca="false">SUM(Z9:Z18)</f>
        <v>209241.848175787</v>
      </c>
      <c r="AA19" s="61" t="n">
        <f aca="false">SUM(AA9:AA18)</f>
        <v>209793.822093576</v>
      </c>
      <c r="AB19" s="61" t="n">
        <f aca="false">SUM(AB9:AB18)</f>
        <v>210356.018500122</v>
      </c>
    </row>
    <row r="20" customFormat="false" ht="15" hidden="false" customHeight="false" outlineLevel="0" collapsed="false">
      <c r="A20" s="22" t="s">
        <v>1441</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row>
    <row r="21" customFormat="false" ht="15" hidden="false" customHeight="false" outlineLevel="0" collapsed="false">
      <c r="A21" s="28" t="s">
        <v>1442</v>
      </c>
      <c r="B21" s="63" t="s">
        <v>1443</v>
      </c>
      <c r="C21" s="64" t="n">
        <f aca="false">SUM(E21:P21)</f>
        <v>166678.1941125</v>
      </c>
      <c r="D21" s="64" t="n">
        <f aca="false">SUM(Q21:AB21)</f>
        <v>183141.985739885</v>
      </c>
      <c r="E21" s="65" t="n">
        <f aca="false">Assumptions!$C$18*(1*E13+1*E14+1*E15+1*E17+0.5*E18)</f>
        <v>12653.47545</v>
      </c>
      <c r="F21" s="65" t="n">
        <f aca="false">Assumptions!$C$18*(1*F13+1*F14+1*F15+1*F17+0.5*F18)</f>
        <v>13926.4062</v>
      </c>
      <c r="G21" s="65" t="n">
        <f aca="false">Assumptions!$C$18*(1*G13+1*G14+1*G15+1*G17+0.5*G18)</f>
        <v>17896.16955</v>
      </c>
      <c r="H21" s="65" t="n">
        <f aca="false">Assumptions!$C$18*(1*H13+1*H14+1*H15+1*H17+0.5*H18)</f>
        <v>13400.1987</v>
      </c>
      <c r="I21" s="65" t="n">
        <f aca="false">Assumptions!$C$18*(1*I13+1*I14+1*I15+1*I17+0.5*I18)</f>
        <v>18253.42365</v>
      </c>
      <c r="J21" s="65" t="n">
        <f aca="false">Assumptions!$C$18*(1*J13+1*J14+1*J15+1*J17+0.5*J18)</f>
        <v>13197.7419</v>
      </c>
      <c r="K21" s="65" t="n">
        <f aca="false">Assumptions!$C$18*(1*K13+1*K14+1*K15+1*K17+0.5*K18)</f>
        <v>12903.8238</v>
      </c>
      <c r="L21" s="65" t="n">
        <f aca="false">Assumptions!$C$18*(1*L13+1*L14+1*L15+1*L17+0.5*L18)</f>
        <v>11706.7713</v>
      </c>
      <c r="M21" s="65" t="n">
        <f aca="false">Assumptions!$C$18*(1*M13+1*M14+1*M15+1*M17+0.5*M18)</f>
        <v>12883.5</v>
      </c>
      <c r="N21" s="65" t="n">
        <f aca="false">Assumptions!$C$18*(1*N13+1*N14+1*N15+1*N17+0.5*N18)</f>
        <v>12883.5</v>
      </c>
      <c r="O21" s="65" t="n">
        <f aca="false">Assumptions!$C$18*(1*O13+1*O14+1*O15+1*O17+0.5*O18)</f>
        <v>13962.375</v>
      </c>
      <c r="P21" s="65" t="n">
        <f aca="false">Assumptions!$C$18*(1*P13+1*P14+1*P15+1*P17+0.5*P18)</f>
        <v>13010.8085625</v>
      </c>
      <c r="Q21" s="65" t="n">
        <f aca="false">Assumptions!$C$18*(1*Q13+1*Q14+1*Q15+1*Q17+0.5*Q18)</f>
        <v>19976.1527546875</v>
      </c>
      <c r="R21" s="65" t="n">
        <f aca="false">Assumptions!$C$18*(1*R13+1*R14+1*R15+1*R17+0.5*R18)</f>
        <v>13381.1294226486</v>
      </c>
      <c r="S21" s="65" t="n">
        <f aca="false">Assumptions!$C$18*(1*S13+1*S14+1*S15+1*S17+0.5*S18)</f>
        <v>18753.2584197547</v>
      </c>
      <c r="T21" s="65" t="n">
        <f aca="false">Assumptions!$C$18*(1*T13+1*T14+1*T15+1*T17+0.5*T18)</f>
        <v>14412.8296277646</v>
      </c>
      <c r="U21" s="65" t="n">
        <f aca="false">Assumptions!$C$18*(1*U13+1*U14+1*U15+1*U17+0.5*U18)</f>
        <v>20028.6068700685</v>
      </c>
      <c r="V21" s="65" t="n">
        <f aca="false">Assumptions!$C$18*(1*V13+1*V14+1*V15+1*V17+0.5*V18)</f>
        <v>13496.7403894329</v>
      </c>
      <c r="W21" s="65" t="n">
        <f aca="false">Assumptions!$C$18*(1*W13+1*W14+1*W15+1*W17+0.5*W18)</f>
        <v>13505.6763354079</v>
      </c>
      <c r="X21" s="65" t="n">
        <f aca="false">Assumptions!$C$18*(1*X13+1*X14+1*X15+1*X17+0.5*X18)</f>
        <v>13536.5553393371</v>
      </c>
      <c r="Y21" s="65" t="n">
        <f aca="false">Assumptions!$C$18*(1*Y13+1*Y14+1*Y15+1*Y17+0.5*Y18)</f>
        <v>15425.9233608815</v>
      </c>
      <c r="Z21" s="65" t="n">
        <f aca="false">Assumptions!$C$18*(1*Z13+1*Z14+1*Z15+1*Z17+0.5*Z18)</f>
        <v>13535.3872493957</v>
      </c>
      <c r="AA21" s="65" t="n">
        <f aca="false">Assumptions!$C$18*(1*AA13+1*AA14+1*AA15+1*AA17+0.5*AA18)</f>
        <v>13535.4081891171</v>
      </c>
      <c r="AB21" s="65" t="n">
        <f aca="false">Assumptions!$C$18*(1*AB13+1*AB14+1*AB15+1*AB17+0.5*AB18)</f>
        <v>13554.3177813892</v>
      </c>
    </row>
    <row r="22" customFormat="false" ht="15" hidden="false" customHeight="false" outlineLevel="0" collapsed="false">
      <c r="A22" s="28" t="s">
        <v>1444</v>
      </c>
      <c r="B22" s="63" t="s">
        <v>498</v>
      </c>
      <c r="C22" s="64" t="n">
        <f aca="false">SUM(E22:P22)</f>
        <v>309928.213443306</v>
      </c>
      <c r="D22" s="64" t="n">
        <f aca="false">SUM(Q22:AB22)</f>
        <v>340581.505239496</v>
      </c>
      <c r="E22" s="65" t="n">
        <f aca="false">Assumptions!$C$18*(E9+E10+E11+E12)</f>
        <v>26330.4783</v>
      </c>
      <c r="F22" s="65" t="n">
        <f aca="false">Assumptions!$C$18*(F9+F10+F11+F12)</f>
        <v>27407.5956</v>
      </c>
      <c r="G22" s="65" t="n">
        <f aca="false">Assumptions!$C$18*(G9+G10+G11+G12)</f>
        <v>25773.5793</v>
      </c>
      <c r="H22" s="65" t="n">
        <f aca="false">Assumptions!$C$18*(H9+H10+H11+H12)</f>
        <v>26030.0796</v>
      </c>
      <c r="I22" s="65" t="n">
        <f aca="false">Assumptions!$C$18*(I9+I10+I11+I12)</f>
        <v>24888.4776</v>
      </c>
      <c r="J22" s="65" t="n">
        <f aca="false">Assumptions!$C$18*(J9+J10+J11+J12)</f>
        <v>26514.2283</v>
      </c>
      <c r="K22" s="65" t="n">
        <f aca="false">Assumptions!$C$18*(K9+K10+K11+K12)</f>
        <v>25923.1434</v>
      </c>
      <c r="L22" s="65" t="n">
        <f aca="false">Assumptions!$C$18*(L9+L10+L11+L12)</f>
        <v>23205.3108</v>
      </c>
      <c r="M22" s="65" t="n">
        <f aca="false">Assumptions!$C$18*(M9+M10+M11+M12)</f>
        <v>25788.9363818243</v>
      </c>
      <c r="N22" s="65" t="n">
        <f aca="false">Assumptions!$C$18*(N9+N10+N11+N12)</f>
        <v>25874.7519898906</v>
      </c>
      <c r="O22" s="65" t="n">
        <f aca="false">Assumptions!$C$18*(O9+O10+O11+O12)</f>
        <v>26043.1574304834</v>
      </c>
      <c r="P22" s="65" t="n">
        <f aca="false">Assumptions!$C$18*(P9+P10+P11+P12)</f>
        <v>26148.4747411076</v>
      </c>
      <c r="Q22" s="65" t="n">
        <f aca="false">Assumptions!$C$18*(Q9+Q10+Q11+Q12)</f>
        <v>29444.5870745779</v>
      </c>
      <c r="R22" s="65" t="n">
        <f aca="false">Assumptions!$C$18*(R9+R10+R11+R12)</f>
        <v>29553.695448122</v>
      </c>
      <c r="S22" s="65" t="n">
        <f aca="false">Assumptions!$C$18*(S9+S10+S11+S12)</f>
        <v>29759.8601069515</v>
      </c>
      <c r="T22" s="65" t="n">
        <f aca="false">Assumptions!$C$18*(T9+T10+T11+T12)</f>
        <v>27774.7245790837</v>
      </c>
      <c r="U22" s="65" t="n">
        <f aca="false">Assumptions!$C$18*(U9+U10+U11+U12)</f>
        <v>27949.0026486731</v>
      </c>
      <c r="V22" s="65" t="n">
        <f aca="false">Assumptions!$C$18*(V9+V10+V11+V12)</f>
        <v>28055.8664998081</v>
      </c>
      <c r="W22" s="65" t="n">
        <f aca="false">Assumptions!$C$18*(W9+W10+W11+W12)</f>
        <v>28151.8185597607</v>
      </c>
      <c r="X22" s="65" t="n">
        <f aca="false">Assumptions!$C$18*(X9+X10+X11+X12)</f>
        <v>25375.7116012282</v>
      </c>
      <c r="Y22" s="65" t="n">
        <f aca="false">Assumptions!$C$18*(Y9+Y10+Y11+Y12)</f>
        <v>28452.3022996012</v>
      </c>
      <c r="Z22" s="65" t="n">
        <f aca="false">Assumptions!$C$18*(Z9+Z10+Z11+Z12)</f>
        <v>28577.6658675196</v>
      </c>
      <c r="AA22" s="65" t="n">
        <f aca="false">Assumptions!$C$18*(AA9+AA10+AA11+AA12)</f>
        <v>28693.5594505338</v>
      </c>
      <c r="AB22" s="65" t="n">
        <f aca="false">Assumptions!$C$18*(AB9+AB10+AB11+AB12)</f>
        <v>28792.7111036365</v>
      </c>
    </row>
    <row r="23" customFormat="false" ht="15" hidden="false" customHeight="false" outlineLevel="0" collapsed="false">
      <c r="A23" s="28" t="s">
        <v>1445</v>
      </c>
      <c r="B23" s="63"/>
      <c r="C23" s="64" t="n">
        <f aca="false">SUM(E23:P23)</f>
        <v>35340</v>
      </c>
      <c r="D23" s="64" t="n">
        <f aca="false">SUM(Q23:AB23)</f>
        <v>36400.2</v>
      </c>
      <c r="E23" s="65" t="n">
        <f aca="false">E14*Assumptions!$C$36</f>
        <v>2945</v>
      </c>
      <c r="F23" s="65" t="n">
        <f aca="false">F14*Assumptions!$C$36</f>
        <v>2945</v>
      </c>
      <c r="G23" s="65" t="n">
        <f aca="false">G14*Assumptions!$C$36</f>
        <v>2945</v>
      </c>
      <c r="H23" s="65" t="n">
        <f aca="false">H14*Assumptions!$C$36</f>
        <v>2945</v>
      </c>
      <c r="I23" s="65" t="n">
        <f aca="false">I14*Assumptions!$C$36</f>
        <v>2945</v>
      </c>
      <c r="J23" s="65" t="n">
        <f aca="false">J14*Assumptions!$C$36</f>
        <v>2945</v>
      </c>
      <c r="K23" s="65" t="n">
        <f aca="false">K14*Assumptions!$C$36</f>
        <v>2945</v>
      </c>
      <c r="L23" s="65" t="n">
        <f aca="false">L14*Assumptions!$C$36</f>
        <v>2945</v>
      </c>
      <c r="M23" s="65" t="n">
        <f aca="false">M14*Assumptions!$C$36</f>
        <v>2945</v>
      </c>
      <c r="N23" s="65" t="n">
        <f aca="false">N14*Assumptions!$C$36</f>
        <v>2945</v>
      </c>
      <c r="O23" s="65" t="n">
        <f aca="false">O14*Assumptions!$C$36</f>
        <v>2945</v>
      </c>
      <c r="P23" s="65" t="n">
        <f aca="false">P14*Assumptions!$C$36</f>
        <v>2945</v>
      </c>
      <c r="Q23" s="65" t="n">
        <f aca="false">Q14*Assumptions!$C$36</f>
        <v>3033.35</v>
      </c>
      <c r="R23" s="65" t="n">
        <f aca="false">R14*Assumptions!$C$36</f>
        <v>3033.35</v>
      </c>
      <c r="S23" s="65" t="n">
        <f aca="false">S14*Assumptions!$C$36</f>
        <v>3033.35</v>
      </c>
      <c r="T23" s="65" t="n">
        <f aca="false">T14*Assumptions!$C$36</f>
        <v>3033.35</v>
      </c>
      <c r="U23" s="65" t="n">
        <f aca="false">U14*Assumptions!$C$36</f>
        <v>3033.35</v>
      </c>
      <c r="V23" s="65" t="n">
        <f aca="false">V14*Assumptions!$C$36</f>
        <v>3033.35</v>
      </c>
      <c r="W23" s="65" t="n">
        <f aca="false">W14*Assumptions!$C$36</f>
        <v>3033.35</v>
      </c>
      <c r="X23" s="65" t="n">
        <f aca="false">X14*Assumptions!$C$36</f>
        <v>3033.35</v>
      </c>
      <c r="Y23" s="65" t="n">
        <f aca="false">Y14*Assumptions!$C$36</f>
        <v>3033.35</v>
      </c>
      <c r="Z23" s="65" t="n">
        <f aca="false">Z14*Assumptions!$C$36</f>
        <v>3033.35</v>
      </c>
      <c r="AA23" s="65" t="n">
        <f aca="false">AA14*Assumptions!$C$36</f>
        <v>3033.35</v>
      </c>
      <c r="AB23" s="65" t="n">
        <f aca="false">AB14*Assumptions!$C$36</f>
        <v>3033.35</v>
      </c>
    </row>
    <row r="24" customFormat="false" ht="15" hidden="false" customHeight="false" outlineLevel="0" collapsed="false">
      <c r="A24" s="28" t="s">
        <v>1446</v>
      </c>
      <c r="B24" s="63"/>
      <c r="C24" s="64" t="n">
        <f aca="false">SUM(E24:P24)</f>
        <v>189720</v>
      </c>
      <c r="D24" s="64" t="n">
        <f aca="false">SUM(Q24:AB24)</f>
        <v>195411.6</v>
      </c>
      <c r="E24" s="65" t="n">
        <f aca="false">E14*(1+Assumptions!$C$18)-E23</f>
        <v>15810</v>
      </c>
      <c r="F24" s="65" t="n">
        <f aca="false">F14*(1+Assumptions!$C$18)-F23</f>
        <v>15810</v>
      </c>
      <c r="G24" s="65" t="n">
        <f aca="false">G14*(1+Assumptions!$C$18)-G23</f>
        <v>15810</v>
      </c>
      <c r="H24" s="65" t="n">
        <f aca="false">H14*(1+Assumptions!$C$18)-H23</f>
        <v>15810</v>
      </c>
      <c r="I24" s="65" t="n">
        <f aca="false">I14*(1+Assumptions!$C$18)-I23</f>
        <v>15810</v>
      </c>
      <c r="J24" s="65" t="n">
        <f aca="false">J14*(1+Assumptions!$C$18)-J23</f>
        <v>15810</v>
      </c>
      <c r="K24" s="65" t="n">
        <f aca="false">K14*(1+Assumptions!$C$18)-K23</f>
        <v>15810</v>
      </c>
      <c r="L24" s="65" t="n">
        <f aca="false">L14*(1+Assumptions!$C$18)-L23</f>
        <v>15810</v>
      </c>
      <c r="M24" s="65" t="n">
        <f aca="false">M14*(1+Assumptions!$C$18)-M23</f>
        <v>15810</v>
      </c>
      <c r="N24" s="65" t="n">
        <f aca="false">N14*(1+Assumptions!$C$18)-N23</f>
        <v>15810</v>
      </c>
      <c r="O24" s="65" t="n">
        <f aca="false">O14*(1+Assumptions!$C$18)-O23</f>
        <v>15810</v>
      </c>
      <c r="P24" s="65" t="n">
        <f aca="false">P14*(1+Assumptions!$C$18)-P23</f>
        <v>15810</v>
      </c>
      <c r="Q24" s="65" t="n">
        <f aca="false">Q14*(1+Assumptions!$C$18)-Q23</f>
        <v>16284.3</v>
      </c>
      <c r="R24" s="65" t="n">
        <f aca="false">R14*(1+Assumptions!$C$18)-R23</f>
        <v>16284.3</v>
      </c>
      <c r="S24" s="65" t="n">
        <f aca="false">S14*(1+Assumptions!$C$18)-S23</f>
        <v>16284.3</v>
      </c>
      <c r="T24" s="65" t="n">
        <f aca="false">T14*(1+Assumptions!$C$18)-T23</f>
        <v>16284.3</v>
      </c>
      <c r="U24" s="65" t="n">
        <f aca="false">U14*(1+Assumptions!$C$18)-U23</f>
        <v>16284.3</v>
      </c>
      <c r="V24" s="65" t="n">
        <f aca="false">V14*(1+Assumptions!$C$18)-V23</f>
        <v>16284.3</v>
      </c>
      <c r="W24" s="65" t="n">
        <f aca="false">W14*(1+Assumptions!$C$18)-W23</f>
        <v>16284.3</v>
      </c>
      <c r="X24" s="65" t="n">
        <f aca="false">X14*(1+Assumptions!$C$18)-X23</f>
        <v>16284.3</v>
      </c>
      <c r="Y24" s="65" t="n">
        <f aca="false">Y14*(1+Assumptions!$C$18)-Y23</f>
        <v>16284.3</v>
      </c>
      <c r="Z24" s="65" t="n">
        <f aca="false">Z14*(1+Assumptions!$C$18)-Z23</f>
        <v>16284.3</v>
      </c>
      <c r="AA24" s="65" t="n">
        <f aca="false">AA14*(1+Assumptions!$C$18)-AA23</f>
        <v>16284.3</v>
      </c>
      <c r="AB24" s="65" t="n">
        <f aca="false">AB14*(1+Assumptions!$C$18)-AB23</f>
        <v>16284.3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1447</v>
      </c>
    </row>
    <row r="3" customFormat="false" ht="15" hidden="false" customHeight="false" outlineLevel="0" collapsed="false">
      <c r="A3" s="50" t="s">
        <v>1448</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8" t="s">
        <v>1449</v>
      </c>
      <c r="B8" s="63" t="s">
        <v>1450</v>
      </c>
      <c r="C8" s="64" t="n">
        <f aca="false">SUM(E8:P8)</f>
        <v>63920.2809722222</v>
      </c>
      <c r="D8" s="64" t="n">
        <f aca="false">SUM(Q8:AB8)</f>
        <v>88836.6707997689</v>
      </c>
      <c r="E8" s="65" t="n">
        <f aca="false">IF(E$5="A",Inputs_Actuals!E305,People!E41*Assumptions!$C$106+Assumptions!$C$107)</f>
        <v>4944.37</v>
      </c>
      <c r="F8" s="65" t="n">
        <f aca="false">IF(F$5="A",Inputs_Actuals!F305,People!F41*Assumptions!$C$106+Assumptions!$C$107)</f>
        <v>6372.97</v>
      </c>
      <c r="G8" s="65" t="n">
        <f aca="false">IF(G$5="A",Inputs_Actuals!G305,People!G41*Assumptions!$C$106+Assumptions!$C$107)</f>
        <v>6607.21</v>
      </c>
      <c r="H8" s="65" t="n">
        <f aca="false">IF(H$5="A",Inputs_Actuals!H305,People!H41*Assumptions!$C$106+Assumptions!$C$107)</f>
        <v>6672.68</v>
      </c>
      <c r="I8" s="65" t="n">
        <f aca="false">IF(I$5="A",Inputs_Actuals!I305,People!I41*Assumptions!$C$106+Assumptions!$C$107)</f>
        <v>6014.03</v>
      </c>
      <c r="J8" s="65" t="n">
        <f aca="false">IF(J$5="A",Inputs_Actuals!J305,People!J41*Assumptions!$C$106+Assumptions!$C$107)</f>
        <v>4943.4</v>
      </c>
      <c r="K8" s="65" t="n">
        <f aca="false">IF(K$5="A",Inputs_Actuals!K305,People!K41*Assumptions!$C$106+Assumptions!$C$107)</f>
        <v>4701.37</v>
      </c>
      <c r="L8" s="65" t="n">
        <f aca="false">IF(L$5="A",Inputs_Actuals!L305,People!L41*Assumptions!$C$106+Assumptions!$C$107)</f>
        <v>2439.12</v>
      </c>
      <c r="M8" s="65" t="n">
        <f aca="false">IF(M$5="A",Inputs_Actuals!M305,People!M41*Assumptions!$C$106+Assumptions!$C$107)</f>
        <v>4700</v>
      </c>
      <c r="N8" s="65" t="n">
        <f aca="false">IF(N$5="A",Inputs_Actuals!N305,People!N41*Assumptions!$C$106+Assumptions!$C$107)</f>
        <v>4700</v>
      </c>
      <c r="O8" s="65" t="n">
        <f aca="false">IF(O$5="A",Inputs_Actuals!O305,People!O41*Assumptions!$C$106+Assumptions!$C$107)</f>
        <v>6869.16666666667</v>
      </c>
      <c r="P8" s="65" t="n">
        <f aca="false">IF(P$5="A",Inputs_Actuals!P305,People!P41*Assumptions!$C$106+Assumptions!$C$107)</f>
        <v>4955.96430555556</v>
      </c>
      <c r="Q8" s="65" t="n">
        <f aca="false">IF(Q$5="A",Inputs_Actuals!Q305,People!Q41*Assumptions!$C$106+Assumptions!$C$107)</f>
        <v>18247.8600358796</v>
      </c>
      <c r="R8" s="65" t="n">
        <f aca="false">IF(R$5="A",Inputs_Actuals!R305,People!R41*Assumptions!$C$106+Assumptions!$C$107)</f>
        <v>4988.02476511352</v>
      </c>
      <c r="S8" s="65" t="n">
        <f aca="false">IF(S$5="A",Inputs_Actuals!S305,People!S41*Assumptions!$C$106+Assumptions!$C$107)</f>
        <v>8787.41957410988</v>
      </c>
      <c r="T8" s="65" t="n">
        <f aca="false">IF(T$5="A",Inputs_Actuals!T305,People!T41*Assumptions!$C$106+Assumptions!$C$107)</f>
        <v>7062.34263783353</v>
      </c>
      <c r="U8" s="65" t="n">
        <f aca="false">IF(U$5="A",Inputs_Actuals!U305,People!U41*Assumptions!$C$106+Assumptions!$C$107)</f>
        <v>8959.72333664559</v>
      </c>
      <c r="V8" s="65" t="n">
        <f aca="false">IF(V$5="A",Inputs_Actuals!V305,People!V41*Assumptions!$C$106+Assumptions!$C$107)</f>
        <v>5220.470095156</v>
      </c>
      <c r="W8" s="65" t="n">
        <f aca="false">IF(W$5="A",Inputs_Actuals!W305,People!W41*Assumptions!$C$106+Assumptions!$C$107)</f>
        <v>5238.43654738091</v>
      </c>
      <c r="X8" s="65" t="n">
        <f aca="false">IF(X$5="A",Inputs_Actuals!X305,People!X41*Assumptions!$C$106+Assumptions!$C$107)</f>
        <v>5300.52131718576</v>
      </c>
      <c r="Y8" s="65" t="n">
        <f aca="false">IF(Y$5="A",Inputs_Actuals!Y305,People!Y41*Assumptions!$C$106+Assumptions!$C$107)</f>
        <v>9099.25067267178</v>
      </c>
      <c r="Z8" s="65" t="n">
        <f aca="false">IF(Z$5="A",Inputs_Actuals!Z305,People!Z41*Assumptions!$C$106+Assumptions!$C$107)</f>
        <v>5298.17277656278</v>
      </c>
      <c r="AA8" s="65" t="n">
        <f aca="false">IF(AA$5="A",Inputs_Actuals!AA305,People!AA41*Assumptions!$C$106+Assumptions!$C$107)</f>
        <v>5298.21487758998</v>
      </c>
      <c r="AB8" s="65" t="n">
        <f aca="false">IF(AB$5="A",Inputs_Actuals!AB305,People!AB41*Assumptions!$C$106+Assumptions!$C$107)</f>
        <v>5336.23416363957</v>
      </c>
    </row>
    <row r="9" customFormat="false" ht="15" hidden="false" customHeight="false" outlineLevel="0" collapsed="false">
      <c r="A9" s="28" t="s">
        <v>1451</v>
      </c>
      <c r="B9" s="63" t="s">
        <v>1452</v>
      </c>
      <c r="C9" s="64" t="n">
        <f aca="false">SUM(E9:P9)</f>
        <v>63600</v>
      </c>
      <c r="D9" s="64" t="n">
        <f aca="false">SUM(Q9:AB9)</f>
        <v>54400</v>
      </c>
      <c r="E9" s="65" t="n">
        <f aca="false">MIN(4300,MAX(0,Inputs_Actuals!$C$323-Inputs_Actuals!$C$324-4300*0))+1000</f>
        <v>5300</v>
      </c>
      <c r="F9" s="65" t="n">
        <f aca="false">MIN(4300,MAX(0,Inputs_Actuals!$C$323-Inputs_Actuals!$C$324-4300*1))+1000</f>
        <v>5300</v>
      </c>
      <c r="G9" s="65" t="n">
        <f aca="false">MIN(4300,MAX(0,Inputs_Actuals!$C$323-Inputs_Actuals!$C$324-4300*2))+1000</f>
        <v>5300</v>
      </c>
      <c r="H9" s="65" t="n">
        <f aca="false">MIN(4300,MAX(0,Inputs_Actuals!$C$323-Inputs_Actuals!$C$324-4300*3))+1000</f>
        <v>5300</v>
      </c>
      <c r="I9" s="65" t="n">
        <f aca="false">MIN(4300,MAX(0,Inputs_Actuals!$C$323-Inputs_Actuals!$C$324-4300*4))+1000</f>
        <v>5300</v>
      </c>
      <c r="J9" s="65" t="n">
        <f aca="false">MIN(4300,MAX(0,Inputs_Actuals!$C$323-Inputs_Actuals!$C$324-4300*5))+1000</f>
        <v>5300</v>
      </c>
      <c r="K9" s="65" t="n">
        <f aca="false">MIN(4300,MAX(0,Inputs_Actuals!$C$323-Inputs_Actuals!$C$324-4300*6))+1000</f>
        <v>5300</v>
      </c>
      <c r="L9" s="65" t="n">
        <f aca="false">MIN(4300,MAX(0,Inputs_Actuals!$C$323-Inputs_Actuals!$C$324-4300*7))+1000</f>
        <v>5300</v>
      </c>
      <c r="M9" s="65" t="n">
        <f aca="false">MIN(4300,MAX(0,Inputs_Actuals!$C$323-Inputs_Actuals!$C$324-4300*8))+1000</f>
        <v>5300</v>
      </c>
      <c r="N9" s="65" t="n">
        <f aca="false">MIN(4300,MAX(0,Inputs_Actuals!$C$323-Inputs_Actuals!$C$324-4300*9))+1000</f>
        <v>5300</v>
      </c>
      <c r="O9" s="65" t="n">
        <f aca="false">MIN(4300,MAX(0,Inputs_Actuals!$C$323-Inputs_Actuals!$C$324-4300*10))+1000</f>
        <v>5300</v>
      </c>
      <c r="P9" s="65" t="n">
        <f aca="false">MIN(4300,MAX(0,Inputs_Actuals!$C$323-Inputs_Actuals!$C$324-4300*11))+1000</f>
        <v>5300</v>
      </c>
      <c r="Q9" s="65" t="n">
        <f aca="false">MIN(4300,MAX(0,Inputs_Actuals!$C$323-Inputs_Actuals!$C$324-4300*12))+1000</f>
        <v>5300</v>
      </c>
      <c r="R9" s="65" t="n">
        <f aca="false">MIN(4300,MAX(0,Inputs_Actuals!$C$323-Inputs_Actuals!$C$324-4300*13))+1000</f>
        <v>5300</v>
      </c>
      <c r="S9" s="65" t="n">
        <f aca="false">MIN(4300,MAX(0,Inputs_Actuals!$C$323-Inputs_Actuals!$C$324-4300*14))+1000</f>
        <v>5300</v>
      </c>
      <c r="T9" s="65" t="n">
        <f aca="false">MIN(4300,MAX(0,Inputs_Actuals!$C$323-Inputs_Actuals!$C$324-4300*15))+1000</f>
        <v>5300</v>
      </c>
      <c r="U9" s="65" t="n">
        <f aca="false">MIN(4300,MAX(0,Inputs_Actuals!$C$323-Inputs_Actuals!$C$324-4300*16))+1000</f>
        <v>5300</v>
      </c>
      <c r="V9" s="65" t="n">
        <f aca="false">MIN(4300,MAX(0,Inputs_Actuals!$C$323-Inputs_Actuals!$C$324-4300*17))+1000</f>
        <v>5300</v>
      </c>
      <c r="W9" s="65" t="n">
        <f aca="false">MIN(4300,MAX(0,Inputs_Actuals!$C$323-Inputs_Actuals!$C$324-4300*18))+1000</f>
        <v>5300</v>
      </c>
      <c r="X9" s="65" t="n">
        <f aca="false">MIN(4300,MAX(0,Inputs_Actuals!$C$323-Inputs_Actuals!$C$324-4300*19))+1000</f>
        <v>5300</v>
      </c>
      <c r="Y9" s="65" t="n">
        <f aca="false">MIN(4300,MAX(0,Inputs_Actuals!$C$323-Inputs_Actuals!$C$324-4300*20))+1000</f>
        <v>5300</v>
      </c>
      <c r="Z9" s="65" t="n">
        <f aca="false">MIN(4300,MAX(0,Inputs_Actuals!$C$323-Inputs_Actuals!$C$324-4300*21))+1000</f>
        <v>4700</v>
      </c>
      <c r="AA9" s="65" t="n">
        <f aca="false">MIN(4300,MAX(0,Inputs_Actuals!$C$323-Inputs_Actuals!$C$324-4300*22))+1000</f>
        <v>1000</v>
      </c>
      <c r="AB9" s="65" t="n">
        <f aca="false">MIN(4300,MAX(0,Inputs_Actuals!$C$323-Inputs_Actuals!$C$324-4300*23))+1000</f>
        <v>1000</v>
      </c>
    </row>
    <row r="10" customFormat="false" ht="15" hidden="false" customHeight="false" outlineLevel="0" collapsed="false">
      <c r="A10" s="28" t="s">
        <v>1453</v>
      </c>
      <c r="B10" s="63"/>
      <c r="C10" s="64" t="n">
        <f aca="false">SUM(E10:P10)</f>
        <v>10176.5335185185</v>
      </c>
      <c r="D10" s="64" t="n">
        <f aca="false">SUM(Q10:AB10)</f>
        <v>37162.8628156658</v>
      </c>
      <c r="E10" s="74" t="n">
        <f aca="false">0</f>
        <v>0</v>
      </c>
      <c r="F10" s="74" t="n">
        <f aca="false">SUM(E8:E8)/36</f>
        <v>137.343611111111</v>
      </c>
      <c r="G10" s="74" t="n">
        <f aca="false">SUM(E8:F8)/36</f>
        <v>314.370555555556</v>
      </c>
      <c r="H10" s="74" t="n">
        <f aca="false">SUM(E8:G8)/36</f>
        <v>497.904166666667</v>
      </c>
      <c r="I10" s="74" t="n">
        <f aca="false">SUM(E8:H8)/36</f>
        <v>683.256388888889</v>
      </c>
      <c r="J10" s="74" t="n">
        <f aca="false">SUM(E8:I8)/36</f>
        <v>850.312777777778</v>
      </c>
      <c r="K10" s="74" t="n">
        <f aca="false">SUM(E8:J8)/36</f>
        <v>987.629444444445</v>
      </c>
      <c r="L10" s="74" t="n">
        <f aca="false">SUM(E8:K8)/36</f>
        <v>1118.22305555556</v>
      </c>
      <c r="M10" s="74" t="n">
        <f aca="false">SUM(E8:L8)/36</f>
        <v>1185.97638888889</v>
      </c>
      <c r="N10" s="74" t="n">
        <f aca="false">SUM(E8:M8)/36</f>
        <v>1316.53194444444</v>
      </c>
      <c r="O10" s="74" t="n">
        <f aca="false">SUM(E8:N8)/36</f>
        <v>1447.0875</v>
      </c>
      <c r="P10" s="74" t="n">
        <f aca="false">SUM(E8:O8)/36</f>
        <v>1637.89768518519</v>
      </c>
      <c r="Q10" s="74" t="n">
        <f aca="false">SUM(E8:P8)/36</f>
        <v>1775.56336033951</v>
      </c>
      <c r="R10" s="74" t="n">
        <f aca="false">SUM(E8:Q8)/36</f>
        <v>2282.44836133616</v>
      </c>
      <c r="S10" s="74" t="n">
        <f aca="false">SUM(E8:R8)/36</f>
        <v>2421.00460481154</v>
      </c>
      <c r="T10" s="74" t="n">
        <f aca="false">SUM(E8:S8)/36</f>
        <v>2665.09959298126</v>
      </c>
      <c r="U10" s="74" t="n">
        <f aca="false">SUM(E8:T8)/36</f>
        <v>2861.27577736552</v>
      </c>
      <c r="V10" s="74" t="n">
        <f aca="false">SUM(E8:U8)/36</f>
        <v>3110.15698116123</v>
      </c>
      <c r="W10" s="74" t="n">
        <f aca="false">SUM(E8:V8)/36</f>
        <v>3255.17003936001</v>
      </c>
      <c r="X10" s="74" t="n">
        <f aca="false">SUM(E8:W8)/36</f>
        <v>3400.68216567615</v>
      </c>
      <c r="Y10" s="74" t="n">
        <f aca="false">SUM(E8:X8)/36</f>
        <v>3547.91886893131</v>
      </c>
      <c r="Z10" s="74" t="n">
        <f aca="false">SUM(E8:Y8)/36</f>
        <v>3800.67583206108</v>
      </c>
      <c r="AA10" s="74" t="n">
        <f aca="false">SUM(E8:Z8)/36</f>
        <v>3947.84729807671</v>
      </c>
      <c r="AB10" s="74" t="n">
        <f aca="false">SUM(E8:AA8)/36</f>
        <v>4095.01993356532</v>
      </c>
    </row>
    <row r="11" customFormat="false" ht="15" hidden="false" customHeight="false" outlineLevel="0" collapsed="false">
      <c r="A11" s="59" t="s">
        <v>1454</v>
      </c>
      <c r="B11" s="60"/>
      <c r="C11" s="61" t="n">
        <f aca="false">SUM(E11:P11)</f>
        <v>73776.5335185185</v>
      </c>
      <c r="D11" s="61" t="n">
        <f aca="false">SUM(Q11:AB11)</f>
        <v>91562.8628156658</v>
      </c>
      <c r="E11" s="61" t="n">
        <f aca="false">E9+E10</f>
        <v>5300</v>
      </c>
      <c r="F11" s="61" t="n">
        <f aca="false">F9+F10</f>
        <v>5437.34361111111</v>
      </c>
      <c r="G11" s="61" t="n">
        <f aca="false">G9+G10</f>
        <v>5614.37055555556</v>
      </c>
      <c r="H11" s="61" t="n">
        <f aca="false">H9+H10</f>
        <v>5797.90416666667</v>
      </c>
      <c r="I11" s="61" t="n">
        <f aca="false">I9+I10</f>
        <v>5983.25638888889</v>
      </c>
      <c r="J11" s="61" t="n">
        <f aca="false">J9+J10</f>
        <v>6150.31277777778</v>
      </c>
      <c r="K11" s="61" t="n">
        <f aca="false">K9+K10</f>
        <v>6287.62944444445</v>
      </c>
      <c r="L11" s="61" t="n">
        <f aca="false">L9+L10</f>
        <v>6418.22305555556</v>
      </c>
      <c r="M11" s="61" t="n">
        <f aca="false">M9+M10</f>
        <v>6485.97638888889</v>
      </c>
      <c r="N11" s="61" t="n">
        <f aca="false">N9+N10</f>
        <v>6616.53194444445</v>
      </c>
      <c r="O11" s="61" t="n">
        <f aca="false">O9+O10</f>
        <v>6747.0875</v>
      </c>
      <c r="P11" s="61" t="n">
        <f aca="false">P9+P10</f>
        <v>6937.89768518519</v>
      </c>
      <c r="Q11" s="61" t="n">
        <f aca="false">Q9+Q10</f>
        <v>7075.56336033951</v>
      </c>
      <c r="R11" s="61" t="n">
        <f aca="false">R9+R10</f>
        <v>7582.44836133616</v>
      </c>
      <c r="S11" s="61" t="n">
        <f aca="false">S9+S10</f>
        <v>7721.00460481154</v>
      </c>
      <c r="T11" s="61" t="n">
        <f aca="false">T9+T10</f>
        <v>7965.09959298126</v>
      </c>
      <c r="U11" s="61" t="n">
        <f aca="false">U9+U10</f>
        <v>8161.27577736552</v>
      </c>
      <c r="V11" s="61" t="n">
        <f aca="false">V9+V10</f>
        <v>8410.15698116123</v>
      </c>
      <c r="W11" s="61" t="n">
        <f aca="false">W9+W10</f>
        <v>8555.17003936001</v>
      </c>
      <c r="X11" s="61" t="n">
        <f aca="false">X9+X10</f>
        <v>8700.68216567615</v>
      </c>
      <c r="Y11" s="61" t="n">
        <f aca="false">Y9+Y10</f>
        <v>8847.91886893131</v>
      </c>
      <c r="Z11" s="61" t="n">
        <f aca="false">Z9+Z10</f>
        <v>8500.67583206108</v>
      </c>
      <c r="AA11" s="61" t="n">
        <f aca="false">AA9+AA10</f>
        <v>4947.84729807671</v>
      </c>
      <c r="AB11" s="61" t="n">
        <f aca="false">AB9+AB10</f>
        <v>5095.01993356532</v>
      </c>
    </row>
    <row r="12" customFormat="false" ht="15" hidden="false" customHeight="false" outlineLevel="0" collapsed="false">
      <c r="A12" s="59" t="s">
        <v>1455</v>
      </c>
      <c r="B12" s="60"/>
      <c r="C12" s="61" t="n">
        <f aca="false">P12</f>
        <v>139143.747453704</v>
      </c>
      <c r="D12" s="61" t="n">
        <f aca="false">AB12</f>
        <v>136417.555437807</v>
      </c>
      <c r="E12" s="62" t="n">
        <f aca="false">(Inputs_Actuals!$C$323-Inputs_Actuals!$C$324+Inputs_Actuals!$C$325-Inputs_Actuals!$C$326)+E8-E11</f>
        <v>148644.37</v>
      </c>
      <c r="F12" s="61" t="n">
        <f aca="false">E12+F8-F11</f>
        <v>149579.996388889</v>
      </c>
      <c r="G12" s="61" t="n">
        <f aca="false">F12+G8-G11</f>
        <v>150572.835833333</v>
      </c>
      <c r="H12" s="61" t="n">
        <f aca="false">G12+H8-H11</f>
        <v>151447.611666667</v>
      </c>
      <c r="I12" s="61" t="n">
        <f aca="false">H12+I8-I11</f>
        <v>151478.385277778</v>
      </c>
      <c r="J12" s="61" t="n">
        <f aca="false">I12+J8-J11</f>
        <v>150271.4725</v>
      </c>
      <c r="K12" s="61" t="n">
        <f aca="false">J12+K8-K11</f>
        <v>148685.213055556</v>
      </c>
      <c r="L12" s="61" t="n">
        <f aca="false">K12+L8-L11</f>
        <v>144706.11</v>
      </c>
      <c r="M12" s="61" t="n">
        <f aca="false">L12+M8-M11</f>
        <v>142920.133611111</v>
      </c>
      <c r="N12" s="61" t="n">
        <f aca="false">M12+N8-N11</f>
        <v>141003.601666667</v>
      </c>
      <c r="O12" s="61" t="n">
        <f aca="false">N12+O8-O11</f>
        <v>141125.680833333</v>
      </c>
      <c r="P12" s="61" t="n">
        <f aca="false">O12+P8-P11</f>
        <v>139143.747453704</v>
      </c>
      <c r="Q12" s="61" t="n">
        <f aca="false">P12+Q8-Q11</f>
        <v>150316.044129244</v>
      </c>
      <c r="R12" s="61" t="n">
        <f aca="false">Q12+R8-R11</f>
        <v>147721.620533021</v>
      </c>
      <c r="S12" s="61" t="n">
        <f aca="false">R12+S8-S11</f>
        <v>148788.035502319</v>
      </c>
      <c r="T12" s="61" t="n">
        <f aca="false">S12+T8-T11</f>
        <v>147885.278547172</v>
      </c>
      <c r="U12" s="61" t="n">
        <f aca="false">T12+U8-U11</f>
        <v>148683.726106452</v>
      </c>
      <c r="V12" s="61" t="n">
        <f aca="false">U12+V8-V11</f>
        <v>145494.039220447</v>
      </c>
      <c r="W12" s="61" t="n">
        <f aca="false">V12+W8-W11</f>
        <v>142177.305728467</v>
      </c>
      <c r="X12" s="61" t="n">
        <f aca="false">W12+X8-X11</f>
        <v>138777.144879977</v>
      </c>
      <c r="Y12" s="61" t="n">
        <f aca="false">X12+Y8-Y11</f>
        <v>139028.476683718</v>
      </c>
      <c r="Z12" s="61" t="n">
        <f aca="false">Y12+Z8-Z11</f>
        <v>135825.973628219</v>
      </c>
      <c r="AA12" s="61" t="n">
        <f aca="false">Z12+AA8-AA11</f>
        <v>136176.341207733</v>
      </c>
      <c r="AB12" s="61" t="n">
        <f aca="false">AA12+AB8-AB11</f>
        <v>136417.555437807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1456</v>
      </c>
    </row>
    <row r="3" customFormat="false" ht="15" hidden="false" customHeight="false" outlineLevel="0" collapsed="false">
      <c r="A3" s="50" t="s">
        <v>1457</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8" t="s">
        <v>1458</v>
      </c>
      <c r="B8" s="63"/>
      <c r="E8" s="65" t="n">
        <f aca="false">Inputs_Actuals!$C$339</f>
        <v>2000000</v>
      </c>
      <c r="F8" s="74" t="n">
        <f aca="false">E10</f>
        <v>2000000</v>
      </c>
      <c r="G8" s="74" t="n">
        <f aca="false">F10</f>
        <v>2000000</v>
      </c>
      <c r="H8" s="74" t="n">
        <f aca="false">G10</f>
        <v>2000000</v>
      </c>
      <c r="I8" s="74" t="n">
        <f aca="false">H10</f>
        <v>2000000</v>
      </c>
      <c r="J8" s="74" t="n">
        <f aca="false">I10</f>
        <v>2000000</v>
      </c>
      <c r="K8" s="74" t="n">
        <f aca="false">J10</f>
        <v>2000000</v>
      </c>
      <c r="L8" s="74" t="n">
        <f aca="false">K10</f>
        <v>2000000</v>
      </c>
      <c r="M8" s="74" t="n">
        <f aca="false">L10</f>
        <v>1944444.44</v>
      </c>
      <c r="N8" s="74" t="n">
        <f aca="false">M10</f>
        <v>1888888.88</v>
      </c>
      <c r="O8" s="74" t="n">
        <f aca="false">N10</f>
        <v>1833333.32</v>
      </c>
      <c r="P8" s="74" t="n">
        <f aca="false">O10</f>
        <v>1777777.76</v>
      </c>
      <c r="Q8" s="74" t="n">
        <f aca="false">P10</f>
        <v>1722222.2</v>
      </c>
      <c r="R8" s="74" t="n">
        <f aca="false">Q10</f>
        <v>1666666.64</v>
      </c>
      <c r="S8" s="74" t="n">
        <f aca="false">R10</f>
        <v>1611111.08</v>
      </c>
      <c r="T8" s="74" t="n">
        <f aca="false">S10</f>
        <v>1555555.52</v>
      </c>
      <c r="U8" s="74" t="n">
        <f aca="false">T10</f>
        <v>1499999.96</v>
      </c>
      <c r="V8" s="74" t="n">
        <f aca="false">U10</f>
        <v>1444444.4</v>
      </c>
      <c r="W8" s="74" t="n">
        <f aca="false">V10</f>
        <v>1388888.84</v>
      </c>
      <c r="X8" s="74" t="n">
        <f aca="false">W10</f>
        <v>1333333.28</v>
      </c>
      <c r="Y8" s="74" t="n">
        <f aca="false">X10</f>
        <v>1277777.72</v>
      </c>
      <c r="Z8" s="74" t="n">
        <f aca="false">Y10</f>
        <v>1222222.16</v>
      </c>
      <c r="AA8" s="74" t="n">
        <f aca="false">Z10</f>
        <v>1166666.6</v>
      </c>
      <c r="AB8" s="74" t="n">
        <f aca="false">AA10</f>
        <v>1111111.04</v>
      </c>
    </row>
    <row r="9" customFormat="false" ht="15" hidden="false" customHeight="false" outlineLevel="0" collapsed="false">
      <c r="A9" s="28" t="s">
        <v>1459</v>
      </c>
      <c r="B9" s="63" t="s">
        <v>1460</v>
      </c>
      <c r="C9" s="64" t="n">
        <f aca="false">SUM(E9:P9)</f>
        <v>277777.8</v>
      </c>
      <c r="D9" s="64" t="n">
        <f aca="false">SUM(Q9:AB9)</f>
        <v>666666.72</v>
      </c>
      <c r="E9" s="65" t="n">
        <f aca="false">IF(E$5="A",Inputs_Actuals!E315,IF(Assumptions!E$188&gt;=Assumptions!$C$162,MIN(Assumptions!$C$161,E8),0))</f>
        <v>0</v>
      </c>
      <c r="F9" s="65" t="n">
        <f aca="false">IF(F$5="A",Inputs_Actuals!F315,IF(Assumptions!F$188&gt;=Assumptions!$C$162,MIN(Assumptions!$C$161,F8),0))</f>
        <v>0</v>
      </c>
      <c r="G9" s="65" t="n">
        <f aca="false">IF(G$5="A",Inputs_Actuals!G315,IF(Assumptions!G$188&gt;=Assumptions!$C$162,MIN(Assumptions!$C$161,G8),0))</f>
        <v>0</v>
      </c>
      <c r="H9" s="65" t="n">
        <f aca="false">IF(H$5="A",Inputs_Actuals!H315,IF(Assumptions!H$188&gt;=Assumptions!$C$162,MIN(Assumptions!$C$161,H8),0))</f>
        <v>0</v>
      </c>
      <c r="I9" s="65" t="n">
        <f aca="false">IF(I$5="A",Inputs_Actuals!I315,IF(Assumptions!I$188&gt;=Assumptions!$C$162,MIN(Assumptions!$C$161,I8),0))</f>
        <v>0</v>
      </c>
      <c r="J9" s="65" t="n">
        <f aca="false">IF(J$5="A",Inputs_Actuals!J315,IF(Assumptions!J$188&gt;=Assumptions!$C$162,MIN(Assumptions!$C$161,J8),0))</f>
        <v>0</v>
      </c>
      <c r="K9" s="65" t="n">
        <f aca="false">IF(K$5="A",Inputs_Actuals!K315,IF(Assumptions!K$188&gt;=Assumptions!$C$162,MIN(Assumptions!$C$161,K8),0))</f>
        <v>0</v>
      </c>
      <c r="L9" s="65" t="n">
        <f aca="false">IF(L$5="A",Inputs_Actuals!L315,IF(Assumptions!L$188&gt;=Assumptions!$C$162,MIN(Assumptions!$C$161,L8),0))</f>
        <v>55555.56</v>
      </c>
      <c r="M9" s="65" t="n">
        <f aca="false">IF(M$5="A",Inputs_Actuals!M315,IF(Assumptions!M$188&gt;=Assumptions!$C$162,MIN(Assumptions!$C$161,M8),0))</f>
        <v>55555.56</v>
      </c>
      <c r="N9" s="65" t="n">
        <f aca="false">IF(N$5="A",Inputs_Actuals!N315,IF(Assumptions!N$188&gt;=Assumptions!$C$162,MIN(Assumptions!$C$161,N8),0))</f>
        <v>55555.56</v>
      </c>
      <c r="O9" s="65" t="n">
        <f aca="false">IF(O$5="A",Inputs_Actuals!O315,IF(Assumptions!O$188&gt;=Assumptions!$C$162,MIN(Assumptions!$C$161,O8),0))</f>
        <v>55555.56</v>
      </c>
      <c r="P9" s="65" t="n">
        <f aca="false">IF(P$5="A",Inputs_Actuals!P315,IF(Assumptions!P$188&gt;=Assumptions!$C$162,MIN(Assumptions!$C$161,P8),0))</f>
        <v>55555.56</v>
      </c>
      <c r="Q9" s="65" t="n">
        <f aca="false">IF(Q$5="A",Inputs_Actuals!Q315,IF(Assumptions!Q$188&gt;=Assumptions!$C$162,MIN(Assumptions!$C$161,Q8),0))</f>
        <v>55555.56</v>
      </c>
      <c r="R9" s="65" t="n">
        <f aca="false">IF(R$5="A",Inputs_Actuals!R315,IF(Assumptions!R$188&gt;=Assumptions!$C$162,MIN(Assumptions!$C$161,R8),0))</f>
        <v>55555.56</v>
      </c>
      <c r="S9" s="65" t="n">
        <f aca="false">IF(S$5="A",Inputs_Actuals!S315,IF(Assumptions!S$188&gt;=Assumptions!$C$162,MIN(Assumptions!$C$161,S8),0))</f>
        <v>55555.56</v>
      </c>
      <c r="T9" s="65" t="n">
        <f aca="false">IF(T$5="A",Inputs_Actuals!T315,IF(Assumptions!T$188&gt;=Assumptions!$C$162,MIN(Assumptions!$C$161,T8),0))</f>
        <v>55555.56</v>
      </c>
      <c r="U9" s="65" t="n">
        <f aca="false">IF(U$5="A",Inputs_Actuals!U315,IF(Assumptions!U$188&gt;=Assumptions!$C$162,MIN(Assumptions!$C$161,U8),0))</f>
        <v>55555.56</v>
      </c>
      <c r="V9" s="65" t="n">
        <f aca="false">IF(V$5="A",Inputs_Actuals!V315,IF(Assumptions!V$188&gt;=Assumptions!$C$162,MIN(Assumptions!$C$161,V8),0))</f>
        <v>55555.56</v>
      </c>
      <c r="W9" s="65" t="n">
        <f aca="false">IF(W$5="A",Inputs_Actuals!W315,IF(Assumptions!W$188&gt;=Assumptions!$C$162,MIN(Assumptions!$C$161,W8),0))</f>
        <v>55555.56</v>
      </c>
      <c r="X9" s="65" t="n">
        <f aca="false">IF(X$5="A",Inputs_Actuals!X315,IF(Assumptions!X$188&gt;=Assumptions!$C$162,MIN(Assumptions!$C$161,X8),0))</f>
        <v>55555.56</v>
      </c>
      <c r="Y9" s="65" t="n">
        <f aca="false">IF(Y$5="A",Inputs_Actuals!Y315,IF(Assumptions!Y$188&gt;=Assumptions!$C$162,MIN(Assumptions!$C$161,Y8),0))</f>
        <v>55555.56</v>
      </c>
      <c r="Z9" s="65" t="n">
        <f aca="false">IF(Z$5="A",Inputs_Actuals!Z315,IF(Assumptions!Z$188&gt;=Assumptions!$C$162,MIN(Assumptions!$C$161,Z8),0))</f>
        <v>55555.56</v>
      </c>
      <c r="AA9" s="65" t="n">
        <f aca="false">IF(AA$5="A",Inputs_Actuals!AA315,IF(Assumptions!AA$188&gt;=Assumptions!$C$162,MIN(Assumptions!$C$161,AA8),0))</f>
        <v>55555.56</v>
      </c>
      <c r="AB9" s="65" t="n">
        <f aca="false">IF(AB$5="A",Inputs_Actuals!AB315,IF(Assumptions!AB$188&gt;=Assumptions!$C$162,MIN(Assumptions!$C$161,AB8),0))</f>
        <v>55555.56</v>
      </c>
    </row>
    <row r="10" customFormat="false" ht="15" hidden="false" customHeight="false" outlineLevel="0" collapsed="false">
      <c r="A10" s="59" t="s">
        <v>1461</v>
      </c>
      <c r="B10" s="60"/>
      <c r="C10" s="61" t="n">
        <f aca="false">P10</f>
        <v>1722222.2</v>
      </c>
      <c r="D10" s="61" t="n">
        <f aca="false">AB10</f>
        <v>1055555.48</v>
      </c>
      <c r="E10" s="61" t="n">
        <f aca="false">E8-E9</f>
        <v>2000000</v>
      </c>
      <c r="F10" s="61" t="n">
        <f aca="false">F8-F9</f>
        <v>2000000</v>
      </c>
      <c r="G10" s="61" t="n">
        <f aca="false">G8-G9</f>
        <v>2000000</v>
      </c>
      <c r="H10" s="61" t="n">
        <f aca="false">H8-H9</f>
        <v>2000000</v>
      </c>
      <c r="I10" s="61" t="n">
        <f aca="false">I8-I9</f>
        <v>2000000</v>
      </c>
      <c r="J10" s="61" t="n">
        <f aca="false">J8-J9</f>
        <v>2000000</v>
      </c>
      <c r="K10" s="61" t="n">
        <f aca="false">K8-K9</f>
        <v>2000000</v>
      </c>
      <c r="L10" s="61" t="n">
        <f aca="false">L8-L9</f>
        <v>1944444.44</v>
      </c>
      <c r="M10" s="61" t="n">
        <f aca="false">M8-M9</f>
        <v>1888888.88</v>
      </c>
      <c r="N10" s="61" t="n">
        <f aca="false">N8-N9</f>
        <v>1833333.32</v>
      </c>
      <c r="O10" s="61" t="n">
        <f aca="false">O8-O9</f>
        <v>1777777.76</v>
      </c>
      <c r="P10" s="61" t="n">
        <f aca="false">P8-P9</f>
        <v>1722222.2</v>
      </c>
      <c r="Q10" s="61" t="n">
        <f aca="false">Q8-Q9</f>
        <v>1666666.64</v>
      </c>
      <c r="R10" s="61" t="n">
        <f aca="false">R8-R9</f>
        <v>1611111.08</v>
      </c>
      <c r="S10" s="61" t="n">
        <f aca="false">S8-S9</f>
        <v>1555555.52</v>
      </c>
      <c r="T10" s="61" t="n">
        <f aca="false">T8-T9</f>
        <v>1499999.96</v>
      </c>
      <c r="U10" s="61" t="n">
        <f aca="false">U8-U9</f>
        <v>1444444.4</v>
      </c>
      <c r="V10" s="61" t="n">
        <f aca="false">V8-V9</f>
        <v>1388888.84</v>
      </c>
      <c r="W10" s="61" t="n">
        <f aca="false">W8-W9</f>
        <v>1333333.28</v>
      </c>
      <c r="X10" s="61" t="n">
        <f aca="false">X8-X9</f>
        <v>1277777.72</v>
      </c>
      <c r="Y10" s="61" t="n">
        <f aca="false">Y8-Y9</f>
        <v>1222222.16</v>
      </c>
      <c r="Z10" s="61" t="n">
        <f aca="false">Z8-Z9</f>
        <v>1166666.6</v>
      </c>
      <c r="AA10" s="61" t="n">
        <f aca="false">AA8-AA9</f>
        <v>1111111.04</v>
      </c>
      <c r="AB10" s="61" t="n">
        <f aca="false">AB8-AB9</f>
        <v>1055555.48</v>
      </c>
    </row>
    <row r="11" customFormat="false" ht="15" hidden="false" customHeight="false" outlineLevel="0" collapsed="false">
      <c r="A11" s="28" t="s">
        <v>544</v>
      </c>
      <c r="B11" s="63" t="s">
        <v>1462</v>
      </c>
      <c r="C11" s="64" t="n">
        <f aca="false">SUM(E11:P11)</f>
        <v>205138.8885</v>
      </c>
      <c r="D11" s="64" t="n">
        <f aca="false">SUM(Q11:AB11)</f>
        <v>148749.9951</v>
      </c>
      <c r="E11" s="65" t="n">
        <f aca="false">IF(E$5="A",Inputs_Actuals!E314,E8*Assumptions!$C$160/12)</f>
        <v>17500</v>
      </c>
      <c r="F11" s="65" t="n">
        <f aca="false">IF(F$5="A",Inputs_Actuals!F314,F8*Assumptions!$C$160/12)</f>
        <v>17500</v>
      </c>
      <c r="G11" s="65" t="n">
        <f aca="false">IF(G$5="A",Inputs_Actuals!G314,G8*Assumptions!$C$160/12)</f>
        <v>17500</v>
      </c>
      <c r="H11" s="65" t="n">
        <f aca="false">IF(H$5="A",Inputs_Actuals!H314,H8*Assumptions!$C$160/12)</f>
        <v>17500</v>
      </c>
      <c r="I11" s="65" t="n">
        <f aca="false">IF(I$5="A",Inputs_Actuals!I314,I8*Assumptions!$C$160/12)</f>
        <v>17500</v>
      </c>
      <c r="J11" s="65" t="n">
        <f aca="false">IF(J$5="A",Inputs_Actuals!J314,J8*Assumptions!$C$160/12)</f>
        <v>17500</v>
      </c>
      <c r="K11" s="65" t="n">
        <f aca="false">IF(K$5="A",Inputs_Actuals!K314,K8*Assumptions!$C$160/12)</f>
        <v>17500</v>
      </c>
      <c r="L11" s="65" t="n">
        <f aca="false">IF(L$5="A",Inputs_Actuals!L314,L8*Assumptions!$C$160/12)</f>
        <v>17500</v>
      </c>
      <c r="M11" s="65" t="n">
        <f aca="false">IF(M$5="A",Inputs_Actuals!M314,M8*Assumptions!$C$160/12)</f>
        <v>17013.88885</v>
      </c>
      <c r="N11" s="65" t="n">
        <f aca="false">IF(N$5="A",Inputs_Actuals!N314,N8*Assumptions!$C$160/12)</f>
        <v>16527.7777</v>
      </c>
      <c r="O11" s="65" t="n">
        <f aca="false">IF(O$5="A",Inputs_Actuals!O314,O8*Assumptions!$C$160/12)</f>
        <v>16041.66655</v>
      </c>
      <c r="P11" s="65" t="n">
        <f aca="false">IF(P$5="A",Inputs_Actuals!P314,P8*Assumptions!$C$160/12)</f>
        <v>15555.5554</v>
      </c>
      <c r="Q11" s="65" t="n">
        <f aca="false">IF(Q$5="A",Inputs_Actuals!Q314,Q8*Assumptions!$C$160/12)</f>
        <v>15069.44425</v>
      </c>
      <c r="R11" s="65" t="n">
        <f aca="false">IF(R$5="A",Inputs_Actuals!R314,R8*Assumptions!$C$160/12)</f>
        <v>14583.3331</v>
      </c>
      <c r="S11" s="65" t="n">
        <f aca="false">IF(S$5="A",Inputs_Actuals!S314,S8*Assumptions!$C$160/12)</f>
        <v>14097.22195</v>
      </c>
      <c r="T11" s="65" t="n">
        <f aca="false">IF(T$5="A",Inputs_Actuals!T314,T8*Assumptions!$C$160/12)</f>
        <v>13611.1108</v>
      </c>
      <c r="U11" s="65" t="n">
        <f aca="false">IF(U$5="A",Inputs_Actuals!U314,U8*Assumptions!$C$160/12)</f>
        <v>13124.99965</v>
      </c>
      <c r="V11" s="65" t="n">
        <f aca="false">IF(V$5="A",Inputs_Actuals!V314,V8*Assumptions!$C$160/12)</f>
        <v>12638.8885</v>
      </c>
      <c r="W11" s="65" t="n">
        <f aca="false">IF(W$5="A",Inputs_Actuals!W314,W8*Assumptions!$C$160/12)</f>
        <v>12152.77735</v>
      </c>
      <c r="X11" s="65" t="n">
        <f aca="false">IF(X$5="A",Inputs_Actuals!X314,X8*Assumptions!$C$160/12)</f>
        <v>11666.6662</v>
      </c>
      <c r="Y11" s="65" t="n">
        <f aca="false">IF(Y$5="A",Inputs_Actuals!Y314,Y8*Assumptions!$C$160/12)</f>
        <v>11180.55505</v>
      </c>
      <c r="Z11" s="65" t="n">
        <f aca="false">IF(Z$5="A",Inputs_Actuals!Z314,Z8*Assumptions!$C$160/12)</f>
        <v>10694.4439</v>
      </c>
      <c r="AA11" s="65" t="n">
        <f aca="false">IF(AA$5="A",Inputs_Actuals!AA314,AA8*Assumptions!$C$160/12)</f>
        <v>10208.33275</v>
      </c>
      <c r="AB11" s="65" t="n">
        <f aca="false">IF(AB$5="A",Inputs_Actuals!AB314,AB8*Assumptions!$C$160/12)</f>
        <v>9722.22159999999</v>
      </c>
    </row>
    <row r="12" customFormat="false" ht="15" hidden="false" customHeight="false" outlineLevel="0" collapsed="false">
      <c r="A12" s="28" t="s">
        <v>1463</v>
      </c>
      <c r="B12" s="63"/>
      <c r="C12" s="64" t="n">
        <f aca="false">P12</f>
        <v>666666.72</v>
      </c>
      <c r="D12" s="64" t="n">
        <f aca="false">AB12</f>
        <v>666666.72</v>
      </c>
      <c r="E12" s="65" t="n">
        <f aca="false">MIN(E10,12*Assumptions!$C$161)</f>
        <v>666666.72</v>
      </c>
      <c r="F12" s="65" t="n">
        <f aca="false">MIN(F10,12*Assumptions!$C$161)</f>
        <v>666666.72</v>
      </c>
      <c r="G12" s="65" t="n">
        <f aca="false">MIN(G10,12*Assumptions!$C$161)</f>
        <v>666666.72</v>
      </c>
      <c r="H12" s="65" t="n">
        <f aca="false">MIN(H10,12*Assumptions!$C$161)</f>
        <v>666666.72</v>
      </c>
      <c r="I12" s="65" t="n">
        <f aca="false">MIN(I10,12*Assumptions!$C$161)</f>
        <v>666666.72</v>
      </c>
      <c r="J12" s="65" t="n">
        <f aca="false">MIN(J10,12*Assumptions!$C$161)</f>
        <v>666666.72</v>
      </c>
      <c r="K12" s="65" t="n">
        <f aca="false">MIN(K10,12*Assumptions!$C$161)</f>
        <v>666666.72</v>
      </c>
      <c r="L12" s="65" t="n">
        <f aca="false">MIN(L10,12*Assumptions!$C$161)</f>
        <v>666666.72</v>
      </c>
      <c r="M12" s="65" t="n">
        <f aca="false">MIN(M10,12*Assumptions!$C$161)</f>
        <v>666666.72</v>
      </c>
      <c r="N12" s="65" t="n">
        <f aca="false">MIN(N10,12*Assumptions!$C$161)</f>
        <v>666666.72</v>
      </c>
      <c r="O12" s="65" t="n">
        <f aca="false">MIN(O10,12*Assumptions!$C$161)</f>
        <v>666666.72</v>
      </c>
      <c r="P12" s="65" t="n">
        <f aca="false">MIN(P10,12*Assumptions!$C$161)</f>
        <v>666666.72</v>
      </c>
      <c r="Q12" s="65" t="n">
        <f aca="false">MIN(Q10,12*Assumptions!$C$161)</f>
        <v>666666.72</v>
      </c>
      <c r="R12" s="65" t="n">
        <f aca="false">MIN(R10,12*Assumptions!$C$161)</f>
        <v>666666.72</v>
      </c>
      <c r="S12" s="65" t="n">
        <f aca="false">MIN(S10,12*Assumptions!$C$161)</f>
        <v>666666.72</v>
      </c>
      <c r="T12" s="65" t="n">
        <f aca="false">MIN(T10,12*Assumptions!$C$161)</f>
        <v>666666.72</v>
      </c>
      <c r="U12" s="65" t="n">
        <f aca="false">MIN(U10,12*Assumptions!$C$161)</f>
        <v>666666.72</v>
      </c>
      <c r="V12" s="65" t="n">
        <f aca="false">MIN(V10,12*Assumptions!$C$161)</f>
        <v>666666.72</v>
      </c>
      <c r="W12" s="65" t="n">
        <f aca="false">MIN(W10,12*Assumptions!$C$161)</f>
        <v>666666.72</v>
      </c>
      <c r="X12" s="65" t="n">
        <f aca="false">MIN(X10,12*Assumptions!$C$161)</f>
        <v>666666.72</v>
      </c>
      <c r="Y12" s="65" t="n">
        <f aca="false">MIN(Y10,12*Assumptions!$C$161)</f>
        <v>666666.72</v>
      </c>
      <c r="Z12" s="65" t="n">
        <f aca="false">MIN(Z10,12*Assumptions!$C$161)</f>
        <v>666666.72</v>
      </c>
      <c r="AA12" s="65" t="n">
        <f aca="false">MIN(AA10,12*Assumptions!$C$161)</f>
        <v>666666.72</v>
      </c>
      <c r="AB12" s="65" t="n">
        <f aca="false">MIN(AB10,12*Assumptions!$C$161)</f>
        <v>666666.72</v>
      </c>
    </row>
    <row r="13" customFormat="false" ht="15" hidden="false" customHeight="false" outlineLevel="0" collapsed="false">
      <c r="A13" s="28" t="s">
        <v>1464</v>
      </c>
      <c r="B13" s="63"/>
      <c r="C13" s="64" t="n">
        <f aca="false">P13</f>
        <v>1055555.48</v>
      </c>
      <c r="D13" s="64" t="n">
        <f aca="false">AB13</f>
        <v>388888.759999999</v>
      </c>
      <c r="E13" s="74" t="n">
        <f aca="false">E10-E12</f>
        <v>1333333.28</v>
      </c>
      <c r="F13" s="74" t="n">
        <f aca="false">F10-F12</f>
        <v>1333333.28</v>
      </c>
      <c r="G13" s="74" t="n">
        <f aca="false">G10-G12</f>
        <v>1333333.28</v>
      </c>
      <c r="H13" s="74" t="n">
        <f aca="false">H10-H12</f>
        <v>1333333.28</v>
      </c>
      <c r="I13" s="74" t="n">
        <f aca="false">I10-I12</f>
        <v>1333333.28</v>
      </c>
      <c r="J13" s="74" t="n">
        <f aca="false">J10-J12</f>
        <v>1333333.28</v>
      </c>
      <c r="K13" s="74" t="n">
        <f aca="false">K10-K12</f>
        <v>1333333.28</v>
      </c>
      <c r="L13" s="74" t="n">
        <f aca="false">L10-L12</f>
        <v>1277777.72</v>
      </c>
      <c r="M13" s="74" t="n">
        <f aca="false">M10-M12</f>
        <v>1222222.16</v>
      </c>
      <c r="N13" s="74" t="n">
        <f aca="false">N10-N12</f>
        <v>1166666.6</v>
      </c>
      <c r="O13" s="74" t="n">
        <f aca="false">O10-O12</f>
        <v>1111111.04</v>
      </c>
      <c r="P13" s="74" t="n">
        <f aca="false">P10-P12</f>
        <v>1055555.48</v>
      </c>
      <c r="Q13" s="74" t="n">
        <f aca="false">Q10-Q12</f>
        <v>999999.92</v>
      </c>
      <c r="R13" s="74" t="n">
        <f aca="false">R10-R12</f>
        <v>944444.36</v>
      </c>
      <c r="S13" s="74" t="n">
        <f aca="false">S10-S12</f>
        <v>888888.8</v>
      </c>
      <c r="T13" s="74" t="n">
        <f aca="false">T10-T12</f>
        <v>833333.24</v>
      </c>
      <c r="U13" s="74" t="n">
        <f aca="false">U10-U12</f>
        <v>777777.68</v>
      </c>
      <c r="V13" s="74" t="n">
        <f aca="false">V10-V12</f>
        <v>722222.119999999</v>
      </c>
      <c r="W13" s="74" t="n">
        <f aca="false">W10-W12</f>
        <v>666666.559999999</v>
      </c>
      <c r="X13" s="74" t="n">
        <f aca="false">X10-X12</f>
        <v>611110.999999999</v>
      </c>
      <c r="Y13" s="74" t="n">
        <f aca="false">Y10-Y12</f>
        <v>555555.439999999</v>
      </c>
      <c r="Z13" s="74" t="n">
        <f aca="false">Z10-Z12</f>
        <v>499999.879999999</v>
      </c>
      <c r="AA13" s="74" t="n">
        <f aca="false">AA10-AA12</f>
        <v>444444.319999999</v>
      </c>
      <c r="AB13" s="74" t="n">
        <f aca="false">AB10-AB12</f>
        <v>388888.759999999</v>
      </c>
    </row>
    <row r="14" customFormat="false" ht="15" hidden="false" customHeight="false" outlineLevel="0" collapsed="false">
      <c r="A14" s="28" t="s">
        <v>1465</v>
      </c>
      <c r="B14" s="63"/>
      <c r="C14" s="64" t="n">
        <f aca="false">P14</f>
        <v>2695090.48338292</v>
      </c>
      <c r="D14" s="64" t="n">
        <f aca="false">AB14</f>
        <v>1041290.76337461</v>
      </c>
      <c r="E14" s="65" t="n">
        <f aca="false">BS!E9-Assumptions!$C$13</f>
        <v>3852248.1816</v>
      </c>
      <c r="F14" s="65" t="n">
        <f aca="false">BS!F9-Assumptions!$C$13</f>
        <v>3995217.72625</v>
      </c>
      <c r="G14" s="65" t="n">
        <f aca="false">BS!G9-Assumptions!$C$13</f>
        <v>4127022.9542</v>
      </c>
      <c r="H14" s="65" t="n">
        <f aca="false">BS!H9-Assumptions!$C$13</f>
        <v>3707127.2234</v>
      </c>
      <c r="I14" s="65" t="n">
        <f aca="false">BS!I9-Assumptions!$C$13</f>
        <v>3886441.5383</v>
      </c>
      <c r="J14" s="65" t="n">
        <f aca="false">BS!J9-Assumptions!$C$13</f>
        <v>3735039.50395</v>
      </c>
      <c r="K14" s="65" t="n">
        <f aca="false">BS!K9-Assumptions!$C$13</f>
        <v>3308764.706</v>
      </c>
      <c r="L14" s="65" t="n">
        <f aca="false">BS!L9-Assumptions!$C$13</f>
        <v>3314216.6401</v>
      </c>
      <c r="M14" s="65" t="n">
        <f aca="false">BS!M9-Assumptions!$C$13</f>
        <v>3227071.66234184</v>
      </c>
      <c r="N14" s="65" t="n">
        <f aca="false">BS!N9-Assumptions!$C$13</f>
        <v>2890943.09508614</v>
      </c>
      <c r="O14" s="65" t="n">
        <f aca="false">BS!O9-Assumptions!$C$13</f>
        <v>2926768.85566784</v>
      </c>
      <c r="P14" s="65" t="n">
        <f aca="false">BS!P9-Assumptions!$C$13</f>
        <v>2695090.48338292</v>
      </c>
      <c r="Q14" s="65" t="n">
        <f aca="false">BS!Q9-Assumptions!$C$13</f>
        <v>2305287.37684197</v>
      </c>
      <c r="R14" s="65" t="n">
        <f aca="false">BS!R9-Assumptions!$C$13</f>
        <v>2251254.78257675</v>
      </c>
      <c r="S14" s="65" t="n">
        <f aca="false">BS!S9-Assumptions!$C$13</f>
        <v>2290582.26839432</v>
      </c>
      <c r="T14" s="65" t="n">
        <f aca="false">BS!T9-Assumptions!$C$13</f>
        <v>2120538.59672397</v>
      </c>
      <c r="U14" s="65" t="n">
        <f aca="false">BS!U9-Assumptions!$C$13</f>
        <v>2188304.56351528</v>
      </c>
      <c r="V14" s="65" t="n">
        <f aca="false">BS!V9-Assumptions!$C$13</f>
        <v>1873084.18723816</v>
      </c>
      <c r="W14" s="65" t="n">
        <f aca="false">BS!W9-Assumptions!$C$13</f>
        <v>1680289.76338965</v>
      </c>
      <c r="X14" s="65" t="n">
        <f aca="false">BS!X9-Assumptions!$C$13</f>
        <v>1687783.22894887</v>
      </c>
      <c r="Y14" s="65" t="n">
        <f aca="false">BS!Y9-Assumptions!$C$13</f>
        <v>1538330.74839547</v>
      </c>
      <c r="Z14" s="65" t="n">
        <f aca="false">BS!Z9-Assumptions!$C$13</f>
        <v>1387195.22314706</v>
      </c>
      <c r="AA14" s="65" t="n">
        <f aca="false">BS!AA9-Assumptions!$C$13</f>
        <v>1370346.56512129</v>
      </c>
      <c r="AB14" s="65" t="n">
        <f aca="false">BS!AB9-Assumptions!$C$13</f>
        <v>1041290.76337461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3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30"/>
    <col collapsed="false" customWidth="true" hidden="false" outlineLevel="0" max="4" min="3" style="0" width="8"/>
    <col collapsed="false" customWidth="true" hidden="false" outlineLevel="0" max="5" min="5" style="0" width="10"/>
    <col collapsed="false" customWidth="true" hidden="false" outlineLevel="0" max="6" min="6" style="0" width="7"/>
    <col collapsed="false" customWidth="true" hidden="false" outlineLevel="0" max="7" min="7" style="0" width="18"/>
    <col collapsed="false" customWidth="true" hidden="false" outlineLevel="0" max="8" min="8" style="0" width="12"/>
    <col collapsed="false" customWidth="true" hidden="false" outlineLevel="0" max="9" min="9" style="0" width="10"/>
    <col collapsed="false" customWidth="true" hidden="false" outlineLevel="0" max="16" min="10" style="0" width="9"/>
    <col collapsed="false" customWidth="true" hidden="false" outlineLevel="0" max="17" min="17" style="0" width="11"/>
    <col collapsed="false" customWidth="true" hidden="false" outlineLevel="0" max="19" min="18" style="0" width="12"/>
    <col collapsed="false" customWidth="true" hidden="false" outlineLevel="0" max="20" min="20" style="0" width="9"/>
    <col collapsed="false" customWidth="true" hidden="false" outlineLevel="0" max="21" min="21" style="0" width="52"/>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1466</v>
      </c>
    </row>
    <row r="3" customFormat="false" ht="15" hidden="false" customHeight="false" outlineLevel="0" collapsed="false">
      <c r="A3" s="25" t="s">
        <v>1467</v>
      </c>
    </row>
    <row r="6" customFormat="false" ht="78" hidden="false" customHeight="true" outlineLevel="0" collapsed="false">
      <c r="A6" s="26" t="s">
        <v>754</v>
      </c>
      <c r="B6" s="27" t="s">
        <v>1468</v>
      </c>
      <c r="C6" s="27" t="s">
        <v>1469</v>
      </c>
      <c r="D6" s="27" t="s">
        <v>1470</v>
      </c>
      <c r="E6" s="27" t="s">
        <v>1471</v>
      </c>
      <c r="F6" s="27" t="s">
        <v>1472</v>
      </c>
      <c r="G6" s="27" t="s">
        <v>154</v>
      </c>
      <c r="H6" s="27" t="s">
        <v>1473</v>
      </c>
      <c r="I6" s="27" t="s">
        <v>1474</v>
      </c>
      <c r="J6" s="27" t="s">
        <v>1475</v>
      </c>
      <c r="K6" s="27" t="s">
        <v>1476</v>
      </c>
      <c r="L6" s="27" t="s">
        <v>1477</v>
      </c>
      <c r="M6" s="27" t="s">
        <v>1478</v>
      </c>
      <c r="N6" s="27" t="s">
        <v>1479</v>
      </c>
      <c r="O6" s="27" t="s">
        <v>1480</v>
      </c>
      <c r="P6" s="27" t="s">
        <v>1481</v>
      </c>
      <c r="Q6" s="27" t="s">
        <v>1482</v>
      </c>
      <c r="R6" s="27" t="s">
        <v>1483</v>
      </c>
      <c r="S6" s="27" t="s">
        <v>1484</v>
      </c>
      <c r="T6" s="27" t="s">
        <v>1485</v>
      </c>
      <c r="U6" s="27" t="s">
        <v>1486</v>
      </c>
    </row>
    <row r="7" customFormat="false" ht="15" hidden="false" customHeight="false" outlineLevel="0" collapsed="false">
      <c r="A7" s="128" t="s">
        <v>1001</v>
      </c>
      <c r="B7" s="128" t="s">
        <v>1487</v>
      </c>
      <c r="C7" s="128" t="s">
        <v>1488</v>
      </c>
      <c r="D7" s="75" t="n">
        <f aca="false">IF(C7="ES",Assumptions!$C$18,0)</f>
        <v>0.21</v>
      </c>
      <c r="E7" s="129" t="n">
        <v>44957</v>
      </c>
      <c r="F7" s="130" t="n">
        <f aca="false">((YEAR(E7)-YEAR(Assumptions!$C$8))*12+MONTH(E7)-MONTH(Assumptions!$C$8)+1)</f>
        <v>-35</v>
      </c>
      <c r="G7" s="128" t="s">
        <v>1489</v>
      </c>
      <c r="H7" s="110" t="n">
        <v>13450.45</v>
      </c>
      <c r="I7" s="110" t="n">
        <v>26000</v>
      </c>
      <c r="J7" s="131" t="n">
        <v>0.75</v>
      </c>
      <c r="K7" s="131" t="n">
        <v>0.5</v>
      </c>
      <c r="L7" s="131" t="n">
        <v>0.9</v>
      </c>
      <c r="M7" s="75" t="n">
        <f aca="false">CHOOSE(Assumptions!$C$11,J7,K7,L7)</f>
        <v>0.75</v>
      </c>
      <c r="N7" s="131" t="n">
        <v>0.05</v>
      </c>
      <c r="O7" s="130" t="n">
        <f aca="false">F7</f>
        <v>-35</v>
      </c>
      <c r="P7" s="132" t="str">
        <f aca="false">TEXT(E7,"mmmm")</f>
        <v>January</v>
      </c>
      <c r="Q7" s="65" t="n">
        <f aca="false">INDEX(Enterprise!$E$9:$AB$9,Assumptions!$C$10)</f>
        <v>14676.49</v>
      </c>
      <c r="R7" s="65" t="n">
        <f aca="false">SUM(Enterprise!E9:P9)</f>
        <v>176117.88</v>
      </c>
      <c r="S7" s="65" t="n">
        <f aca="false">SUM(Enterprise!Q9:AB9)</f>
        <v>142853.615415</v>
      </c>
      <c r="T7" s="67" t="n">
        <f aca="false">IF(PL!$C$12=0,0,R7/PL!$C$12)</f>
        <v>0.0282102220005589</v>
      </c>
      <c r="U7" s="128" t="s">
        <v>1490</v>
      </c>
    </row>
    <row r="8" customFormat="false" ht="15" hidden="false" customHeight="false" outlineLevel="0" collapsed="false">
      <c r="A8" s="128" t="s">
        <v>1002</v>
      </c>
      <c r="B8" s="128" t="s">
        <v>1491</v>
      </c>
      <c r="C8" s="128" t="s">
        <v>1488</v>
      </c>
      <c r="D8" s="75" t="n">
        <f aca="false">IF(C8="ES",Assumptions!$C$18,0)</f>
        <v>0.21</v>
      </c>
      <c r="E8" s="129" t="n">
        <v>44651</v>
      </c>
      <c r="F8" s="130" t="n">
        <f aca="false">((YEAR(E8)-YEAR(Assumptions!$C$8))*12+MONTH(E8)-MONTH(Assumptions!$C$8)+1)</f>
        <v>-45</v>
      </c>
      <c r="G8" s="128" t="s">
        <v>1489</v>
      </c>
      <c r="H8" s="110" t="n">
        <v>10942.22</v>
      </c>
      <c r="I8" s="110" t="n">
        <v>20000</v>
      </c>
      <c r="J8" s="131" t="n">
        <v>0.95</v>
      </c>
      <c r="K8" s="131" t="n">
        <v>0.85</v>
      </c>
      <c r="L8" s="131" t="n">
        <v>0.97</v>
      </c>
      <c r="M8" s="75" t="n">
        <f aca="false">CHOOSE(Assumptions!$C$11,J8,K8,L8)</f>
        <v>0.95</v>
      </c>
      <c r="N8" s="131" t="n">
        <v>0.05</v>
      </c>
      <c r="O8" s="130" t="n">
        <f aca="false">F8</f>
        <v>-45</v>
      </c>
      <c r="P8" s="132" t="str">
        <f aca="false">TEXT(E8,"mmmm")</f>
        <v>March</v>
      </c>
      <c r="Q8" s="65" t="n">
        <f aca="false">INDEX(Enterprise!$E$10:$AB$10,Assumptions!$C$10)</f>
        <v>12598.67</v>
      </c>
      <c r="R8" s="65" t="n">
        <f aca="false">SUM(Enterprise!E10:P10)</f>
        <v>146671.14</v>
      </c>
      <c r="S8" s="65" t="n">
        <f aca="false">SUM(Enterprise!Q10:AB10)</f>
        <v>154639.2252475</v>
      </c>
      <c r="T8" s="67" t="n">
        <f aca="false">IF(PL!$C$12=0,0,R8/PL!$C$12)</f>
        <v>0.0234935000380146</v>
      </c>
      <c r="U8" s="128"/>
    </row>
    <row r="9" customFormat="false" ht="15" hidden="false" customHeight="false" outlineLevel="0" collapsed="false">
      <c r="A9" s="128" t="s">
        <v>1003</v>
      </c>
      <c r="B9" s="128" t="s">
        <v>1492</v>
      </c>
      <c r="C9" s="128" t="s">
        <v>1488</v>
      </c>
      <c r="D9" s="75" t="n">
        <f aca="false">IF(C9="ES",Assumptions!$C$18,0)</f>
        <v>0.21</v>
      </c>
      <c r="E9" s="129" t="n">
        <v>44742</v>
      </c>
      <c r="F9" s="130" t="n">
        <f aca="false">((YEAR(E9)-YEAR(Assumptions!$C$8))*12+MONTH(E9)-MONTH(Assumptions!$C$8)+1)</f>
        <v>-42</v>
      </c>
      <c r="G9" s="128" t="s">
        <v>1489</v>
      </c>
      <c r="H9" s="110" t="n">
        <v>9181.35</v>
      </c>
      <c r="I9" s="110" t="n">
        <v>18000</v>
      </c>
      <c r="J9" s="131" t="n">
        <v>0.95</v>
      </c>
      <c r="K9" s="131" t="n">
        <v>0.85</v>
      </c>
      <c r="L9" s="131" t="n">
        <v>0.97</v>
      </c>
      <c r="M9" s="75" t="n">
        <f aca="false">CHOOSE(Assumptions!$C$11,J9,K9,L9)</f>
        <v>0.95</v>
      </c>
      <c r="N9" s="131" t="n">
        <v>0.04</v>
      </c>
      <c r="O9" s="130" t="n">
        <f aca="false">F9</f>
        <v>-42</v>
      </c>
      <c r="P9" s="132" t="str">
        <f aca="false">TEXT(E9,"mmmm")</f>
        <v>June</v>
      </c>
      <c r="Q9" s="65" t="n">
        <f aca="false">INDEX(Enterprise!$E$11:$AB$11,Assumptions!$C$10)</f>
        <v>9552.85</v>
      </c>
      <c r="R9" s="65" t="n">
        <f aca="false">SUM(Enterprise!E11:P11)</f>
        <v>112776.7</v>
      </c>
      <c r="S9" s="65" t="n">
        <f aca="false">SUM(Enterprise!Q11:AB11)</f>
        <v>115813.785918</v>
      </c>
      <c r="T9" s="67" t="n">
        <f aca="false">IF(PL!$C$12=0,0,R9/PL!$C$12)</f>
        <v>0.0180643540763177</v>
      </c>
      <c r="U9" s="128"/>
    </row>
    <row r="10" customFormat="false" ht="15" hidden="false" customHeight="false" outlineLevel="0" collapsed="false">
      <c r="A10" s="128" t="s">
        <v>1004</v>
      </c>
      <c r="B10" s="128" t="s">
        <v>1493</v>
      </c>
      <c r="C10" s="128" t="s">
        <v>1488</v>
      </c>
      <c r="D10" s="75" t="n">
        <f aca="false">IF(C10="ES",Assumptions!$C$18,0)</f>
        <v>0.21</v>
      </c>
      <c r="E10" s="129" t="n">
        <v>44865</v>
      </c>
      <c r="F10" s="130" t="n">
        <f aca="false">((YEAR(E10)-YEAR(Assumptions!$C$8))*12+MONTH(E10)-MONTH(Assumptions!$C$8)+1)</f>
        <v>-38</v>
      </c>
      <c r="G10" s="128" t="s">
        <v>1489</v>
      </c>
      <c r="H10" s="110" t="n">
        <v>8232.55</v>
      </c>
      <c r="I10" s="110" t="n">
        <v>16000</v>
      </c>
      <c r="J10" s="131" t="n">
        <v>0.93</v>
      </c>
      <c r="K10" s="131" t="n">
        <v>0.8</v>
      </c>
      <c r="L10" s="131" t="n">
        <v>0.96</v>
      </c>
      <c r="M10" s="75" t="n">
        <f aca="false">CHOOSE(Assumptions!$C$11,J10,K10,L10)</f>
        <v>0.93</v>
      </c>
      <c r="N10" s="131" t="n">
        <v>0.04</v>
      </c>
      <c r="O10" s="130" t="n">
        <f aca="false">F10</f>
        <v>-38</v>
      </c>
      <c r="P10" s="132" t="str">
        <f aca="false">TEXT(E10,"mmmm")</f>
        <v>October</v>
      </c>
      <c r="Q10" s="65" t="n">
        <f aca="false">INDEX(Enterprise!$E$12:$AB$12,Assumptions!$C$10)</f>
        <v>8232.55</v>
      </c>
      <c r="R10" s="65" t="n">
        <f aca="false">SUM(Enterprise!E12:P12)</f>
        <v>98697.1440924</v>
      </c>
      <c r="S10" s="65" t="n">
        <f aca="false">SUM(Enterprise!Q12:AB12)</f>
        <v>98323.6740991544</v>
      </c>
      <c r="T10" s="67" t="n">
        <f aca="false">IF(PL!$C$12=0,0,R10/PL!$C$12)</f>
        <v>0.0158091179934017</v>
      </c>
      <c r="U10" s="128"/>
    </row>
    <row r="11" customFormat="false" ht="15" hidden="false" customHeight="false" outlineLevel="0" collapsed="false">
      <c r="A11" s="128" t="s">
        <v>1005</v>
      </c>
      <c r="B11" s="128" t="s">
        <v>1494</v>
      </c>
      <c r="C11" s="128" t="s">
        <v>1495</v>
      </c>
      <c r="D11" s="75" t="n">
        <f aca="false">IF(C11="ES",Assumptions!$C$18,0)</f>
        <v>0</v>
      </c>
      <c r="E11" s="129" t="n">
        <v>44985</v>
      </c>
      <c r="F11" s="130" t="n">
        <f aca="false">((YEAR(E11)-YEAR(Assumptions!$C$8))*12+MONTH(E11)-MONTH(Assumptions!$C$8)+1)</f>
        <v>-34</v>
      </c>
      <c r="G11" s="128" t="s">
        <v>1496</v>
      </c>
      <c r="H11" s="110" t="n">
        <v>6888.32</v>
      </c>
      <c r="I11" s="110" t="n">
        <v>15000</v>
      </c>
      <c r="J11" s="131" t="n">
        <v>0</v>
      </c>
      <c r="K11" s="131" t="n">
        <v>0</v>
      </c>
      <c r="L11" s="131" t="n">
        <v>0</v>
      </c>
      <c r="M11" s="75" t="n">
        <f aca="false">CHOOSE(Assumptions!$C$11,J11,K11,L11)</f>
        <v>0</v>
      </c>
      <c r="N11" s="131" t="n">
        <v>0.04</v>
      </c>
      <c r="O11" s="130" t="n">
        <f aca="false">F11</f>
        <v>-34</v>
      </c>
      <c r="P11" s="132" t="str">
        <f aca="false">TEXT(E11,"mmmm")</f>
        <v>February</v>
      </c>
      <c r="Q11" s="65" t="n">
        <f aca="false">INDEX(Enterprise!$E$13:$AB$13,Assumptions!$C$10)</f>
        <v>0</v>
      </c>
      <c r="R11" s="65" t="n">
        <f aca="false">SUM(Enterprise!E13:P13)</f>
        <v>6888.32</v>
      </c>
      <c r="S11" s="65" t="n">
        <f aca="false">SUM(Enterprise!Q13:AB13)</f>
        <v>0</v>
      </c>
      <c r="T11" s="67" t="n">
        <f aca="false">IF(PL!$C$12=0,0,R11/PL!$C$12)</f>
        <v>0.00110335779882707</v>
      </c>
      <c r="U11" s="128" t="s">
        <v>1497</v>
      </c>
    </row>
    <row r="12" customFormat="false" ht="15" hidden="false" customHeight="false" outlineLevel="0" collapsed="false">
      <c r="A12" s="128" t="s">
        <v>1006</v>
      </c>
      <c r="B12" s="128" t="s">
        <v>1498</v>
      </c>
      <c r="C12" s="128" t="s">
        <v>1499</v>
      </c>
      <c r="D12" s="75" t="n">
        <f aca="false">IF(C12="ES",Assumptions!$C$18,0)</f>
        <v>0</v>
      </c>
      <c r="E12" s="129" t="n">
        <v>45077</v>
      </c>
      <c r="F12" s="130" t="n">
        <f aca="false">((YEAR(E12)-YEAR(Assumptions!$C$8))*12+MONTH(E12)-MONTH(Assumptions!$C$8)+1)</f>
        <v>-31</v>
      </c>
      <c r="G12" s="128" t="s">
        <v>1489</v>
      </c>
      <c r="H12" s="110" t="n">
        <v>6321.51</v>
      </c>
      <c r="I12" s="110" t="n">
        <v>14000</v>
      </c>
      <c r="J12" s="131" t="n">
        <v>0.94</v>
      </c>
      <c r="K12" s="131" t="n">
        <v>0.82</v>
      </c>
      <c r="L12" s="131" t="n">
        <v>0.96</v>
      </c>
      <c r="M12" s="75" t="n">
        <f aca="false">CHOOSE(Assumptions!$C$11,J12,K12,L12)</f>
        <v>0.94</v>
      </c>
      <c r="N12" s="131" t="n">
        <v>0.05</v>
      </c>
      <c r="O12" s="130" t="n">
        <f aca="false">F12</f>
        <v>-31</v>
      </c>
      <c r="P12" s="132" t="str">
        <f aca="false">TEXT(E12,"mmmm")</f>
        <v>May</v>
      </c>
      <c r="Q12" s="65" t="n">
        <f aca="false">INDEX(Enterprise!$E$14:$AB$14,Assumptions!$C$10)</f>
        <v>7130.04</v>
      </c>
      <c r="R12" s="65" t="n">
        <f aca="false">SUM(Enterprise!E14:P14)</f>
        <v>82326.36</v>
      </c>
      <c r="S12" s="65" t="n">
        <f aca="false">SUM(Enterprise!Q14:AB14)</f>
        <v>86507.9197152</v>
      </c>
      <c r="T12" s="67" t="n">
        <f aca="false">IF(PL!$C$12=0,0,R12/PL!$C$12)</f>
        <v>0.0131868774033501</v>
      </c>
      <c r="U12" s="128"/>
    </row>
    <row r="13" customFormat="false" ht="15" hidden="false" customHeight="false" outlineLevel="0" collapsed="false">
      <c r="A13" s="128" t="s">
        <v>1007</v>
      </c>
      <c r="B13" s="128" t="s">
        <v>1500</v>
      </c>
      <c r="C13" s="128" t="s">
        <v>1501</v>
      </c>
      <c r="D13" s="75" t="n">
        <f aca="false">IF(C13="ES",Assumptions!$C$18,0)</f>
        <v>0</v>
      </c>
      <c r="E13" s="129" t="n">
        <v>45199</v>
      </c>
      <c r="F13" s="130" t="n">
        <f aca="false">((YEAR(E13)-YEAR(Assumptions!$C$8))*12+MONTH(E13)-MONTH(Assumptions!$C$8)+1)</f>
        <v>-27</v>
      </c>
      <c r="G13" s="128" t="s">
        <v>1489</v>
      </c>
      <c r="H13" s="110" t="n">
        <v>7969.91</v>
      </c>
      <c r="I13" s="110" t="n">
        <v>16000</v>
      </c>
      <c r="J13" s="131" t="n">
        <v>0.92</v>
      </c>
      <c r="K13" s="131" t="n">
        <v>0.8</v>
      </c>
      <c r="L13" s="131" t="n">
        <v>0.96</v>
      </c>
      <c r="M13" s="75" t="n">
        <f aca="false">CHOOSE(Assumptions!$C$11,J13,K13,L13)</f>
        <v>0.92</v>
      </c>
      <c r="N13" s="131" t="n">
        <v>0.05</v>
      </c>
      <c r="O13" s="130" t="n">
        <f aca="false">F13</f>
        <v>-27</v>
      </c>
      <c r="P13" s="132" t="str">
        <f aca="false">TEXT(E13,"mmmm")</f>
        <v>September</v>
      </c>
      <c r="Q13" s="65" t="n">
        <f aca="false">INDEX(Enterprise!$E$15:$AB$15,Assumptions!$C$10)</f>
        <v>7969.91</v>
      </c>
      <c r="R13" s="65" t="n">
        <f aca="false">SUM(Enterprise!E15:P15)</f>
        <v>95478.8842072</v>
      </c>
      <c r="S13" s="65" t="n">
        <f aca="false">SUM(Enterprise!Q15:AB15)</f>
        <v>94999.5802084799</v>
      </c>
      <c r="T13" s="67" t="n">
        <f aca="false">IF(PL!$C$12=0,0,R13/PL!$C$12)</f>
        <v>0.015293623338248</v>
      </c>
      <c r="U13" s="128"/>
    </row>
    <row r="14" customFormat="false" ht="15" hidden="false" customHeight="false" outlineLevel="0" collapsed="false">
      <c r="A14" s="128" t="s">
        <v>1008</v>
      </c>
      <c r="B14" s="128" t="s">
        <v>1502</v>
      </c>
      <c r="C14" s="128" t="s">
        <v>1488</v>
      </c>
      <c r="D14" s="75" t="n">
        <f aca="false">IF(C14="ES",Assumptions!$C$18,0)</f>
        <v>0.21</v>
      </c>
      <c r="E14" s="129" t="n">
        <v>45260</v>
      </c>
      <c r="F14" s="130" t="n">
        <f aca="false">((YEAR(E14)-YEAR(Assumptions!$C$8))*12+MONTH(E14)-MONTH(Assumptions!$C$8)+1)</f>
        <v>-25</v>
      </c>
      <c r="G14" s="128" t="s">
        <v>1489</v>
      </c>
      <c r="H14" s="110" t="n">
        <v>6306.24</v>
      </c>
      <c r="I14" s="110" t="n">
        <v>14000</v>
      </c>
      <c r="J14" s="131" t="n">
        <v>0.95</v>
      </c>
      <c r="K14" s="131" t="n">
        <v>0.85</v>
      </c>
      <c r="L14" s="131" t="n">
        <v>0.97</v>
      </c>
      <c r="M14" s="75" t="n">
        <f aca="false">CHOOSE(Assumptions!$C$11,J14,K14,L14)</f>
        <v>0.95</v>
      </c>
      <c r="N14" s="131" t="n">
        <v>0.04</v>
      </c>
      <c r="O14" s="130" t="n">
        <f aca="false">F14</f>
        <v>-25</v>
      </c>
      <c r="P14" s="132" t="str">
        <f aca="false">TEXT(E14,"mmmm")</f>
        <v>November</v>
      </c>
      <c r="Q14" s="65" t="n">
        <f aca="false">INDEX(Enterprise!$E$16:$AB$16,Assumptions!$C$10)</f>
        <v>6306.24</v>
      </c>
      <c r="R14" s="65" t="n">
        <f aca="false">SUM(Enterprise!E16:P16)</f>
        <v>75897.3641472</v>
      </c>
      <c r="S14" s="65" t="n">
        <f aca="false">SUM(Enterprise!Q16:AB16)</f>
        <v>77236.1936507566</v>
      </c>
      <c r="T14" s="67" t="n">
        <f aca="false">IF(PL!$C$12=0,0,R14/PL!$C$12)</f>
        <v>0.0121570932596382</v>
      </c>
      <c r="U14" s="128"/>
    </row>
    <row r="15" customFormat="false" ht="15" hidden="false" customHeight="false" outlineLevel="0" collapsed="false">
      <c r="A15" s="128" t="s">
        <v>1009</v>
      </c>
      <c r="B15" s="128" t="s">
        <v>1503</v>
      </c>
      <c r="C15" s="128" t="s">
        <v>1488</v>
      </c>
      <c r="D15" s="75" t="n">
        <f aca="false">IF(C15="ES",Assumptions!$C$18,0)</f>
        <v>0.21</v>
      </c>
      <c r="E15" s="129" t="n">
        <v>45322</v>
      </c>
      <c r="F15" s="130" t="n">
        <f aca="false">((YEAR(E15)-YEAR(Assumptions!$C$8))*12+MONTH(E15)-MONTH(Assumptions!$C$8)+1)</f>
        <v>-23</v>
      </c>
      <c r="G15" s="128" t="s">
        <v>1489</v>
      </c>
      <c r="H15" s="110" t="n">
        <v>6415.75</v>
      </c>
      <c r="I15" s="110" t="n">
        <v>15000</v>
      </c>
      <c r="J15" s="131" t="n">
        <v>0.95</v>
      </c>
      <c r="K15" s="131" t="n">
        <v>0.85</v>
      </c>
      <c r="L15" s="131" t="n">
        <v>0.97</v>
      </c>
      <c r="M15" s="75" t="n">
        <f aca="false">CHOOSE(Assumptions!$C$11,J15,K15,L15)</f>
        <v>0.95</v>
      </c>
      <c r="N15" s="131" t="n">
        <v>0.05</v>
      </c>
      <c r="O15" s="130" t="n">
        <f aca="false">F15</f>
        <v>-23</v>
      </c>
      <c r="P15" s="132" t="str">
        <f aca="false">TEXT(E15,"mmmm")</f>
        <v>January</v>
      </c>
      <c r="Q15" s="65" t="n">
        <f aca="false">INDEX(Enterprise!$E$17:$AB$17,Assumptions!$C$10)</f>
        <v>7400.78</v>
      </c>
      <c r="R15" s="65" t="n">
        <f aca="false">SUM(Enterprise!E17:P17)</f>
        <v>86559.36</v>
      </c>
      <c r="S15" s="65" t="n">
        <f aca="false">SUM(Enterprise!Q17:AB17)</f>
        <v>91244.956698</v>
      </c>
      <c r="T15" s="67" t="n">
        <f aca="false">IF(PL!$C$12=0,0,R15/PL!$C$12)</f>
        <v>0.0138649111710083</v>
      </c>
      <c r="U15" s="128"/>
    </row>
    <row r="16" customFormat="false" ht="15" hidden="false" customHeight="false" outlineLevel="0" collapsed="false">
      <c r="A16" s="128" t="s">
        <v>1010</v>
      </c>
      <c r="B16" s="128" t="s">
        <v>1504</v>
      </c>
      <c r="C16" s="128" t="s">
        <v>1488</v>
      </c>
      <c r="D16" s="75" t="n">
        <f aca="false">IF(C16="ES",Assumptions!$C$18,0)</f>
        <v>0.21</v>
      </c>
      <c r="E16" s="129" t="n">
        <v>45382</v>
      </c>
      <c r="F16" s="130" t="n">
        <f aca="false">((YEAR(E16)-YEAR(Assumptions!$C$8))*12+MONTH(E16)-MONTH(Assumptions!$C$8)+1)</f>
        <v>-21</v>
      </c>
      <c r="G16" s="128" t="s">
        <v>1489</v>
      </c>
      <c r="H16" s="110" t="n">
        <v>4703.54</v>
      </c>
      <c r="I16" s="110" t="n">
        <v>11000</v>
      </c>
      <c r="J16" s="131" t="n">
        <v>0.93</v>
      </c>
      <c r="K16" s="131" t="n">
        <v>0.8</v>
      </c>
      <c r="L16" s="131" t="n">
        <v>0.96</v>
      </c>
      <c r="M16" s="75" t="n">
        <f aca="false">CHOOSE(Assumptions!$C$11,J16,K16,L16)</f>
        <v>0.93</v>
      </c>
      <c r="N16" s="131" t="n">
        <v>0.04</v>
      </c>
      <c r="O16" s="130" t="n">
        <f aca="false">F16</f>
        <v>-21</v>
      </c>
      <c r="P16" s="132" t="str">
        <f aca="false">TEXT(E16,"mmmm")</f>
        <v>March</v>
      </c>
      <c r="Q16" s="65" t="n">
        <f aca="false">INDEX(Enterprise!$E$18:$AB$18,Assumptions!$C$10)</f>
        <v>4855.78</v>
      </c>
      <c r="R16" s="65" t="n">
        <f aca="false">SUM(Enterprise!E18:P18)</f>
        <v>57964.88</v>
      </c>
      <c r="S16" s="65" t="n">
        <f aca="false">SUM(Enterprise!Q18:AB18)</f>
        <v>58085.6172848</v>
      </c>
      <c r="T16" s="67" t="n">
        <f aca="false">IF(PL!$C$12=0,0,R16/PL!$C$12)</f>
        <v>0.0092847025698683</v>
      </c>
      <c r="U16" s="128"/>
    </row>
    <row r="17" customFormat="false" ht="15" hidden="false" customHeight="false" outlineLevel="0" collapsed="false">
      <c r="A17" s="128" t="s">
        <v>1011</v>
      </c>
      <c r="B17" s="128" t="s">
        <v>1505</v>
      </c>
      <c r="C17" s="128" t="s">
        <v>1495</v>
      </c>
      <c r="D17" s="75" t="n">
        <f aca="false">IF(C17="ES",Assumptions!$C$18,0)</f>
        <v>0</v>
      </c>
      <c r="E17" s="129" t="n">
        <v>45412</v>
      </c>
      <c r="F17" s="130" t="n">
        <f aca="false">((YEAR(E17)-YEAR(Assumptions!$C$8))*12+MONTH(E17)-MONTH(Assumptions!$C$8)+1)</f>
        <v>-20</v>
      </c>
      <c r="G17" s="128" t="s">
        <v>1489</v>
      </c>
      <c r="H17" s="110" t="n">
        <v>5097.3</v>
      </c>
      <c r="I17" s="110" t="n">
        <v>12000</v>
      </c>
      <c r="J17" s="131" t="n">
        <v>0.94</v>
      </c>
      <c r="K17" s="131" t="n">
        <v>0.82</v>
      </c>
      <c r="L17" s="131" t="n">
        <v>0.96</v>
      </c>
      <c r="M17" s="75" t="n">
        <f aca="false">CHOOSE(Assumptions!$C$11,J17,K17,L17)</f>
        <v>0.94</v>
      </c>
      <c r="N17" s="131" t="n">
        <v>0.04</v>
      </c>
      <c r="O17" s="130" t="n">
        <f aca="false">F17</f>
        <v>-20</v>
      </c>
      <c r="P17" s="132" t="str">
        <f aca="false">TEXT(E17,"mmmm")</f>
        <v>April</v>
      </c>
      <c r="Q17" s="65" t="n">
        <f aca="false">INDEX(Enterprise!$E$19:$AB$19,Assumptions!$C$10)</f>
        <v>5362.35</v>
      </c>
      <c r="R17" s="65" t="n">
        <f aca="false">SUM(Enterprise!E19:P19)</f>
        <v>63553.05</v>
      </c>
      <c r="S17" s="65" t="n">
        <f aca="false">SUM(Enterprise!Q19:AB19)</f>
        <v>64682.5532472</v>
      </c>
      <c r="T17" s="67" t="n">
        <f aca="false">IF(PL!$C$12=0,0,R17/PL!$C$12)</f>
        <v>0.0101798048517994</v>
      </c>
      <c r="U17" s="128"/>
    </row>
    <row r="18" customFormat="false" ht="15" hidden="false" customHeight="false" outlineLevel="0" collapsed="false">
      <c r="A18" s="128" t="s">
        <v>1012</v>
      </c>
      <c r="B18" s="128" t="s">
        <v>1358</v>
      </c>
      <c r="C18" s="128" t="s">
        <v>1488</v>
      </c>
      <c r="D18" s="75" t="n">
        <f aca="false">IF(C18="ES",Assumptions!$C$18,0)</f>
        <v>0.21</v>
      </c>
      <c r="E18" s="129" t="n">
        <v>45473</v>
      </c>
      <c r="F18" s="130" t="n">
        <f aca="false">((YEAR(E18)-YEAR(Assumptions!$C$8))*12+MONTH(E18)-MONTH(Assumptions!$C$8)+1)</f>
        <v>-18</v>
      </c>
      <c r="G18" s="128" t="s">
        <v>1489</v>
      </c>
      <c r="H18" s="110" t="n">
        <v>3940.94</v>
      </c>
      <c r="I18" s="110" t="n">
        <v>9000</v>
      </c>
      <c r="J18" s="131" t="n">
        <v>0.92</v>
      </c>
      <c r="K18" s="131" t="n">
        <v>0.78</v>
      </c>
      <c r="L18" s="131" t="n">
        <v>0.95</v>
      </c>
      <c r="M18" s="75" t="n">
        <f aca="false">CHOOSE(Assumptions!$C$11,J18,K18,L18)</f>
        <v>0.92</v>
      </c>
      <c r="N18" s="131" t="n">
        <v>0.03</v>
      </c>
      <c r="O18" s="130" t="n">
        <f aca="false">F18</f>
        <v>-18</v>
      </c>
      <c r="P18" s="132" t="str">
        <f aca="false">TEXT(E18,"mmmm")</f>
        <v>June</v>
      </c>
      <c r="Q18" s="65" t="n">
        <f aca="false">INDEX(Enterprise!$E$20:$AB$20,Assumptions!$C$10)</f>
        <v>4177.93</v>
      </c>
      <c r="R18" s="65" t="n">
        <f aca="false">SUM(Enterprise!E20:P20)</f>
        <v>48950.21</v>
      </c>
      <c r="S18" s="65" t="n">
        <f aca="false">SUM(Enterprise!Q20:AB20)</f>
        <v>49434.08663428</v>
      </c>
      <c r="T18" s="67" t="n">
        <f aca="false">IF(PL!$C$12=0,0,R18/PL!$C$12)</f>
        <v>0.00784075013322883</v>
      </c>
      <c r="U18" s="128" t="s">
        <v>1506</v>
      </c>
    </row>
    <row r="19" customFormat="false" ht="15" hidden="false" customHeight="false" outlineLevel="0" collapsed="false">
      <c r="A19" s="128" t="s">
        <v>1013</v>
      </c>
      <c r="B19" s="128" t="s">
        <v>1507</v>
      </c>
      <c r="C19" s="128" t="s">
        <v>1499</v>
      </c>
      <c r="D19" s="75" t="n">
        <f aca="false">IF(C19="ES",Assumptions!$C$18,0)</f>
        <v>0</v>
      </c>
      <c r="E19" s="129" t="n">
        <v>45565</v>
      </c>
      <c r="F19" s="130" t="n">
        <f aca="false">((YEAR(E19)-YEAR(Assumptions!$C$8))*12+MONTH(E19)-MONTH(Assumptions!$C$8)+1)</f>
        <v>-15</v>
      </c>
      <c r="G19" s="128" t="s">
        <v>1489</v>
      </c>
      <c r="H19" s="110" t="n">
        <v>5847.28</v>
      </c>
      <c r="I19" s="110" t="n">
        <v>13000</v>
      </c>
      <c r="J19" s="131" t="n">
        <v>0.94</v>
      </c>
      <c r="K19" s="131" t="n">
        <v>0.82</v>
      </c>
      <c r="L19" s="131" t="n">
        <v>0.96</v>
      </c>
      <c r="M19" s="75" t="n">
        <f aca="false">CHOOSE(Assumptions!$C$11,J19,K19,L19)</f>
        <v>0.94</v>
      </c>
      <c r="N19" s="131" t="n">
        <v>0.04</v>
      </c>
      <c r="O19" s="130" t="n">
        <f aca="false">F19</f>
        <v>-15</v>
      </c>
      <c r="P19" s="132" t="str">
        <f aca="false">TEXT(E19,"mmmm")</f>
        <v>September</v>
      </c>
      <c r="Q19" s="65" t="n">
        <f aca="false">INDEX(Enterprise!$E$21:$AB$21,Assumptions!$C$10)</f>
        <v>5847.28</v>
      </c>
      <c r="R19" s="65" t="n">
        <f aca="false">SUM(Enterprise!E21:P21)</f>
        <v>70329.39982336</v>
      </c>
      <c r="S19" s="65" t="n">
        <f aca="false">SUM(Enterprise!Q21:AB21)</f>
        <v>70816.6419053362</v>
      </c>
      <c r="T19" s="67" t="n">
        <f aca="false">IF(PL!$C$12=0,0,R19/PL!$C$12)</f>
        <v>0.0112652274839048</v>
      </c>
      <c r="U19" s="128"/>
    </row>
    <row r="20" customFormat="false" ht="15" hidden="false" customHeight="false" outlineLevel="0" collapsed="false">
      <c r="A20" s="128" t="s">
        <v>1014</v>
      </c>
      <c r="B20" s="128" t="s">
        <v>1508</v>
      </c>
      <c r="C20" s="128" t="s">
        <v>1509</v>
      </c>
      <c r="D20" s="75" t="n">
        <f aca="false">IF(C20="ES",Assumptions!$C$18,0)</f>
        <v>0</v>
      </c>
      <c r="E20" s="129" t="n">
        <v>45626</v>
      </c>
      <c r="F20" s="130" t="n">
        <f aca="false">((YEAR(E20)-YEAR(Assumptions!$C$8))*12+MONTH(E20)-MONTH(Assumptions!$C$8)+1)</f>
        <v>-13</v>
      </c>
      <c r="G20" s="128" t="s">
        <v>1489</v>
      </c>
      <c r="H20" s="110" t="n">
        <v>6731.5</v>
      </c>
      <c r="I20" s="110" t="n">
        <v>16000</v>
      </c>
      <c r="J20" s="131" t="n">
        <v>0.9</v>
      </c>
      <c r="K20" s="131" t="n">
        <v>0.75</v>
      </c>
      <c r="L20" s="131" t="n">
        <v>0.95</v>
      </c>
      <c r="M20" s="75" t="n">
        <f aca="false">CHOOSE(Assumptions!$C$11,J20,K20,L20)</f>
        <v>0.9</v>
      </c>
      <c r="N20" s="131" t="n">
        <v>0.05</v>
      </c>
      <c r="O20" s="130" t="n">
        <f aca="false">F20</f>
        <v>-13</v>
      </c>
      <c r="P20" s="132" t="str">
        <f aca="false">TEXT(E20,"mmmm")</f>
        <v>November</v>
      </c>
      <c r="Q20" s="65" t="n">
        <f aca="false">INDEX(Enterprise!$E$22:$AB$22,Assumptions!$C$10)</f>
        <v>6731.5</v>
      </c>
      <c r="R20" s="65" t="n">
        <f aca="false">SUM(Enterprise!E22:P22)</f>
        <v>80419.21105</v>
      </c>
      <c r="S20" s="65" t="n">
        <f aca="false">SUM(Enterprise!Q22:AB22)</f>
        <v>78276.0390755175</v>
      </c>
      <c r="T20" s="67" t="n">
        <f aca="false">IF(PL!$C$12=0,0,R20/PL!$C$12)</f>
        <v>0.0128813939665314</v>
      </c>
      <c r="U20" s="128"/>
    </row>
    <row r="21" customFormat="false" ht="15" hidden="false" customHeight="false" outlineLevel="0" collapsed="false">
      <c r="A21" s="128" t="s">
        <v>1015</v>
      </c>
      <c r="B21" s="128" t="s">
        <v>1510</v>
      </c>
      <c r="C21" s="128" t="s">
        <v>1501</v>
      </c>
      <c r="D21" s="75" t="n">
        <f aca="false">IF(C21="ES",Assumptions!$C$18,0)</f>
        <v>0</v>
      </c>
      <c r="E21" s="129" t="n">
        <v>45688</v>
      </c>
      <c r="F21" s="130" t="n">
        <f aca="false">((YEAR(E21)-YEAR(Assumptions!$C$8))*12+MONTH(E21)-MONTH(Assumptions!$C$8)+1)</f>
        <v>-11</v>
      </c>
      <c r="G21" s="128" t="s">
        <v>1489</v>
      </c>
      <c r="H21" s="110" t="n">
        <v>7300</v>
      </c>
      <c r="I21" s="110" t="n">
        <v>18000</v>
      </c>
      <c r="J21" s="131" t="n">
        <v>0.95</v>
      </c>
      <c r="K21" s="131" t="n">
        <v>0.85</v>
      </c>
      <c r="L21" s="131" t="n">
        <v>0.97</v>
      </c>
      <c r="M21" s="75" t="n">
        <f aca="false">CHOOSE(Assumptions!$C$11,J21,K21,L21)</f>
        <v>0.95</v>
      </c>
      <c r="N21" s="131" t="n">
        <v>0.05</v>
      </c>
      <c r="O21" s="130" t="n">
        <f aca="false">F21</f>
        <v>-11</v>
      </c>
      <c r="P21" s="132" t="str">
        <f aca="false">TEXT(E21,"mmmm")</f>
        <v>January</v>
      </c>
      <c r="Q21" s="65" t="n">
        <f aca="false">INDEX(Enterprise!$E$23:$AB$23,Assumptions!$C$10)</f>
        <v>8576.83</v>
      </c>
      <c r="R21" s="65" t="n">
        <f aca="false">SUM(Enterprise!E23:P23)</f>
        <v>101521.96</v>
      </c>
      <c r="S21" s="65" t="n">
        <f aca="false">SUM(Enterprise!Q23:AB23)</f>
        <v>105744.594753</v>
      </c>
      <c r="T21" s="67" t="n">
        <f aca="false">IF(PL!$C$12=0,0,R21/PL!$C$12)</f>
        <v>0.0162615915518167</v>
      </c>
      <c r="U21" s="128"/>
    </row>
    <row r="22" customFormat="false" ht="15" hidden="false" customHeight="false" outlineLevel="0" collapsed="false">
      <c r="A22" s="128" t="s">
        <v>1016</v>
      </c>
      <c r="B22" s="128" t="s">
        <v>1511</v>
      </c>
      <c r="C22" s="128" t="s">
        <v>1501</v>
      </c>
      <c r="D22" s="75" t="n">
        <f aca="false">IF(C22="ES",Assumptions!$C$18,0)</f>
        <v>0</v>
      </c>
      <c r="E22" s="129" t="n">
        <v>45747</v>
      </c>
      <c r="F22" s="130" t="n">
        <f aca="false">((YEAR(E22)-YEAR(Assumptions!$C$8))*12+MONTH(E22)-MONTH(Assumptions!$C$8)+1)</f>
        <v>-9</v>
      </c>
      <c r="G22" s="128" t="s">
        <v>1489</v>
      </c>
      <c r="H22" s="110" t="n">
        <v>5000</v>
      </c>
      <c r="I22" s="110" t="n">
        <v>12000</v>
      </c>
      <c r="J22" s="131" t="n">
        <v>0.93</v>
      </c>
      <c r="K22" s="131" t="n">
        <v>0.8</v>
      </c>
      <c r="L22" s="131" t="n">
        <v>0.96</v>
      </c>
      <c r="M22" s="75" t="n">
        <f aca="false">CHOOSE(Assumptions!$C$11,J22,K22,L22)</f>
        <v>0.93</v>
      </c>
      <c r="N22" s="131" t="n">
        <v>0.04</v>
      </c>
      <c r="O22" s="130" t="n">
        <f aca="false">F22</f>
        <v>-9</v>
      </c>
      <c r="P22" s="132" t="str">
        <f aca="false">TEXT(E22,"mmmm")</f>
        <v>March</v>
      </c>
      <c r="Q22" s="65" t="n">
        <f aca="false">INDEX(Enterprise!$E$24:$AB$24,Assumptions!$C$10)</f>
        <v>5396.12</v>
      </c>
      <c r="R22" s="65" t="n">
        <f aca="false">SUM(Enterprise!E24:P24)</f>
        <v>63961.2</v>
      </c>
      <c r="S22" s="65" t="n">
        <f aca="false">SUM(Enterprise!Q24:AB24)</f>
        <v>64549.2508192</v>
      </c>
      <c r="T22" s="67" t="n">
        <f aca="false">IF(PL!$C$12=0,0,R22/PL!$C$12)</f>
        <v>0.0102451815308142</v>
      </c>
      <c r="U22" s="128"/>
    </row>
    <row r="23" customFormat="false" ht="15" hidden="false" customHeight="false" outlineLevel="0" collapsed="false">
      <c r="A23" s="128" t="s">
        <v>1017</v>
      </c>
      <c r="B23" s="128" t="s">
        <v>1512</v>
      </c>
      <c r="C23" s="128" t="s">
        <v>1488</v>
      </c>
      <c r="D23" s="75" t="n">
        <f aca="false">IF(C23="ES",Assumptions!$C$18,0)</f>
        <v>0.21</v>
      </c>
      <c r="E23" s="129" t="n">
        <v>45808</v>
      </c>
      <c r="F23" s="130" t="n">
        <f aca="false">((YEAR(E23)-YEAR(Assumptions!$C$8))*12+MONTH(E23)-MONTH(Assumptions!$C$8)+1)</f>
        <v>-7</v>
      </c>
      <c r="G23" s="128" t="s">
        <v>1489</v>
      </c>
      <c r="H23" s="110" t="n">
        <v>4400</v>
      </c>
      <c r="I23" s="110" t="n">
        <v>11000</v>
      </c>
      <c r="J23" s="131" t="n">
        <v>0.94</v>
      </c>
      <c r="K23" s="131" t="n">
        <v>0.82</v>
      </c>
      <c r="L23" s="131" t="n">
        <v>0.96</v>
      </c>
      <c r="M23" s="75" t="n">
        <f aca="false">CHOOSE(Assumptions!$C$11,J23,K23,L23)</f>
        <v>0.94</v>
      </c>
      <c r="N23" s="131" t="n">
        <v>0.04</v>
      </c>
      <c r="O23" s="130" t="n">
        <f aca="false">F23</f>
        <v>-7</v>
      </c>
      <c r="P23" s="132" t="str">
        <f aca="false">TEXT(E23,"mmmm")</f>
        <v>May</v>
      </c>
      <c r="Q23" s="65" t="n">
        <f aca="false">INDEX(Enterprise!$E$25:$AB$25,Assumptions!$C$10)</f>
        <v>4671.87</v>
      </c>
      <c r="R23" s="65" t="n">
        <f aca="false">SUM(Enterprise!E25:P25)</f>
        <v>54974.96</v>
      </c>
      <c r="S23" s="65" t="n">
        <f aca="false">SUM(Enterprise!Q25:AB25)</f>
        <v>56321.37372288</v>
      </c>
      <c r="T23" s="67" t="n">
        <f aca="false">IF(PL!$C$12=0,0,R23/PL!$C$12)</f>
        <v>0.008805782956687</v>
      </c>
      <c r="U23" s="128"/>
    </row>
    <row r="24" customFormat="false" ht="15" hidden="false" customHeight="false" outlineLevel="0" collapsed="false">
      <c r="A24" s="128" t="s">
        <v>1018</v>
      </c>
      <c r="B24" s="128" t="s">
        <v>1513</v>
      </c>
      <c r="C24" s="128" t="s">
        <v>1499</v>
      </c>
      <c r="D24" s="75" t="n">
        <f aca="false">IF(C24="ES",Assumptions!$C$18,0)</f>
        <v>0</v>
      </c>
      <c r="E24" s="129" t="n">
        <v>45869</v>
      </c>
      <c r="F24" s="130" t="n">
        <f aca="false">((YEAR(E24)-YEAR(Assumptions!$C$8))*12+MONTH(E24)-MONTH(Assumptions!$C$8)+1)</f>
        <v>-5</v>
      </c>
      <c r="G24" s="128" t="s">
        <v>1489</v>
      </c>
      <c r="H24" s="110" t="n">
        <v>4800</v>
      </c>
      <c r="I24" s="110" t="n">
        <v>12000</v>
      </c>
      <c r="J24" s="131" t="n">
        <v>0.94</v>
      </c>
      <c r="K24" s="131" t="n">
        <v>0.82</v>
      </c>
      <c r="L24" s="131" t="n">
        <v>0.96</v>
      </c>
      <c r="M24" s="75" t="n">
        <f aca="false">CHOOSE(Assumptions!$C$11,J24,K24,L24)</f>
        <v>0.94</v>
      </c>
      <c r="N24" s="131" t="n">
        <v>0.04</v>
      </c>
      <c r="O24" s="130" t="n">
        <f aca="false">F24</f>
        <v>-5</v>
      </c>
      <c r="P24" s="132" t="str">
        <f aca="false">TEXT(E24,"mmmm")</f>
        <v>July</v>
      </c>
      <c r="Q24" s="65" t="n">
        <f aca="false">INDEX(Enterprise!$E$26:$AB$26,Assumptions!$C$10)</f>
        <v>5224.06</v>
      </c>
      <c r="R24" s="65" t="n">
        <f aca="false">SUM(Enterprise!E26:P26)</f>
        <v>60144.36</v>
      </c>
      <c r="S24" s="65" t="n">
        <f aca="false">SUM(Enterprise!Q26:AB26)</f>
        <v>62905.87372608</v>
      </c>
      <c r="T24" s="67" t="n">
        <f aca="false">IF(PL!$C$12=0,0,R24/PL!$C$12)</f>
        <v>0.00963380746850652</v>
      </c>
      <c r="U24" s="128"/>
    </row>
    <row r="25" customFormat="false" ht="15" hidden="false" customHeight="false" outlineLevel="0" collapsed="false">
      <c r="A25" s="128" t="s">
        <v>1019</v>
      </c>
      <c r="B25" s="128" t="s">
        <v>1514</v>
      </c>
      <c r="C25" s="128" t="s">
        <v>1488</v>
      </c>
      <c r="D25" s="75" t="n">
        <f aca="false">IF(C25="ES",Assumptions!$C$18,0)</f>
        <v>0.21</v>
      </c>
      <c r="E25" s="129" t="n">
        <v>45930</v>
      </c>
      <c r="F25" s="130" t="n">
        <f aca="false">((YEAR(E25)-YEAR(Assumptions!$C$8))*12+MONTH(E25)-MONTH(Assumptions!$C$8)+1)</f>
        <v>-3</v>
      </c>
      <c r="G25" s="128" t="s">
        <v>1489</v>
      </c>
      <c r="H25" s="110" t="n">
        <v>6000</v>
      </c>
      <c r="I25" s="110" t="n">
        <v>15000</v>
      </c>
      <c r="J25" s="131" t="n">
        <v>0.95</v>
      </c>
      <c r="K25" s="131" t="n">
        <v>0.85</v>
      </c>
      <c r="L25" s="131" t="n">
        <v>0.97</v>
      </c>
      <c r="M25" s="75" t="n">
        <f aca="false">CHOOSE(Assumptions!$C$11,J25,K25,L25)</f>
        <v>0.95</v>
      </c>
      <c r="N25" s="131" t="n">
        <v>0.05</v>
      </c>
      <c r="O25" s="130" t="n">
        <f aca="false">F25</f>
        <v>-3</v>
      </c>
      <c r="P25" s="132" t="str">
        <f aca="false">TEXT(E25,"mmmm")</f>
        <v>September</v>
      </c>
      <c r="Q25" s="65" t="n">
        <f aca="false">INDEX(Enterprise!$E$27:$AB$27,Assumptions!$C$10)</f>
        <v>6000</v>
      </c>
      <c r="R25" s="65" t="n">
        <f aca="false">SUM(Enterprise!E27:P27)</f>
        <v>72658.2</v>
      </c>
      <c r="S25" s="65" t="n">
        <f aca="false">SUM(Enterprise!Q27:AB27)</f>
        <v>74650.851135</v>
      </c>
      <c r="T25" s="67" t="n">
        <f aca="false">IF(PL!$C$12=0,0,R25/PL!$C$12)</f>
        <v>0.0116382502001558</v>
      </c>
      <c r="U25" s="128"/>
    </row>
    <row r="26" customFormat="false" ht="15" hidden="false" customHeight="false" outlineLevel="0" collapsed="false">
      <c r="A26" s="128" t="s">
        <v>1020</v>
      </c>
      <c r="B26" s="128" t="s">
        <v>1515</v>
      </c>
      <c r="C26" s="128" t="s">
        <v>1509</v>
      </c>
      <c r="D26" s="75" t="n">
        <f aca="false">IF(C26="ES",Assumptions!$C$18,0)</f>
        <v>0</v>
      </c>
      <c r="E26" s="129" t="n">
        <v>45991</v>
      </c>
      <c r="F26" s="130" t="n">
        <f aca="false">((YEAR(E26)-YEAR(Assumptions!$C$8))*12+MONTH(E26)-MONTH(Assumptions!$C$8)+1)</f>
        <v>-1</v>
      </c>
      <c r="G26" s="128" t="s">
        <v>1489</v>
      </c>
      <c r="H26" s="110" t="n">
        <v>4300</v>
      </c>
      <c r="I26" s="110" t="n">
        <v>11000</v>
      </c>
      <c r="J26" s="131" t="n">
        <v>0.95</v>
      </c>
      <c r="K26" s="131" t="n">
        <v>0.85</v>
      </c>
      <c r="L26" s="131" t="n">
        <v>0.97</v>
      </c>
      <c r="M26" s="75" t="n">
        <f aca="false">CHOOSE(Assumptions!$C$11,J26,K26,L26)</f>
        <v>0.95</v>
      </c>
      <c r="N26" s="131" t="n">
        <v>0.04</v>
      </c>
      <c r="O26" s="130" t="n">
        <f aca="false">F26</f>
        <v>-1</v>
      </c>
      <c r="P26" s="132" t="str">
        <f aca="false">TEXT(E26,"mmmm")</f>
        <v>November</v>
      </c>
      <c r="Q26" s="65" t="n">
        <f aca="false">INDEX(Enterprise!$E$28:$AB$28,Assumptions!$C$10)</f>
        <v>4300</v>
      </c>
      <c r="R26" s="65" t="n">
        <f aca="false">SUM(Enterprise!E28:P28)</f>
        <v>51751.704</v>
      </c>
      <c r="S26" s="65" t="n">
        <f aca="false">SUM(Enterprise!Q28:AB28)</f>
        <v>52664.60405856</v>
      </c>
      <c r="T26" s="67" t="n">
        <f aca="false">IF(PL!$C$12=0,0,R26/PL!$C$12)</f>
        <v>0.00828948803351035</v>
      </c>
      <c r="U26" s="128"/>
    </row>
    <row r="27" customFormat="false" ht="15" hidden="false" customHeight="false" outlineLevel="0" collapsed="false">
      <c r="A27" s="128" t="s">
        <v>1021</v>
      </c>
      <c r="B27" s="128" t="s">
        <v>1516</v>
      </c>
      <c r="C27" s="128" t="s">
        <v>1488</v>
      </c>
      <c r="D27" s="75" t="n">
        <f aca="false">IF(C27="ES",Assumptions!$C$18,0)</f>
        <v>0.21</v>
      </c>
      <c r="E27" s="129" t="n">
        <v>46142</v>
      </c>
      <c r="F27" s="130" t="n">
        <f aca="false">((YEAR(E27)-YEAR(Assumptions!$C$8))*12+MONTH(E27)-MONTH(Assumptions!$C$8)+1)</f>
        <v>4</v>
      </c>
      <c r="G27" s="128" t="s">
        <v>1517</v>
      </c>
      <c r="H27" s="110" t="n">
        <v>11500</v>
      </c>
      <c r="I27" s="110" t="n">
        <v>28000</v>
      </c>
      <c r="J27" s="131" t="n">
        <v>0.95</v>
      </c>
      <c r="K27" s="131" t="n">
        <v>0.85</v>
      </c>
      <c r="L27" s="131" t="n">
        <v>0.97</v>
      </c>
      <c r="M27" s="75" t="n">
        <f aca="false">CHOOSE(Assumptions!$C$11,J27,K27,L27)</f>
        <v>0.95</v>
      </c>
      <c r="N27" s="131" t="n">
        <v>0.05</v>
      </c>
      <c r="O27" s="130" t="n">
        <f aca="false">F27</f>
        <v>4</v>
      </c>
      <c r="P27" s="132" t="str">
        <f aca="false">TEXT(E27,"mmmm")</f>
        <v>April</v>
      </c>
      <c r="Q27" s="65" t="n">
        <f aca="false">INDEX(Enterprise!$E$29:$AB$29,Assumptions!$C$10)</f>
        <v>11500</v>
      </c>
      <c r="R27" s="65" t="n">
        <f aca="false">SUM(Enterprise!E29:P29)</f>
        <v>103500</v>
      </c>
      <c r="S27" s="65" t="n">
        <f aca="false">SUM(Enterprise!Q29:AB29)</f>
        <v>140838.4875</v>
      </c>
      <c r="T27" s="67" t="n">
        <f aca="false">IF(PL!$C$12=0,0,R27/PL!$C$12)</f>
        <v>0.0165784301801603</v>
      </c>
      <c r="U27" s="128" t="s">
        <v>1518</v>
      </c>
    </row>
    <row r="28" customFormat="false" ht="15" hidden="false" customHeight="false" outlineLevel="0" collapsed="false">
      <c r="A28" s="128" t="s">
        <v>1022</v>
      </c>
      <c r="B28" s="128" t="s">
        <v>1519</v>
      </c>
      <c r="C28" s="128" t="s">
        <v>1495</v>
      </c>
      <c r="D28" s="75" t="n">
        <f aca="false">IF(C28="ES",Assumptions!$C$18,0)</f>
        <v>0</v>
      </c>
      <c r="E28" s="129" t="n">
        <v>46234</v>
      </c>
      <c r="F28" s="130" t="n">
        <f aca="false">((YEAR(E28)-YEAR(Assumptions!$C$8))*12+MONTH(E28)-MONTH(Assumptions!$C$8)+1)</f>
        <v>7</v>
      </c>
      <c r="G28" s="128" t="s">
        <v>1517</v>
      </c>
      <c r="H28" s="110" t="n">
        <v>5800</v>
      </c>
      <c r="I28" s="110" t="n">
        <v>14000</v>
      </c>
      <c r="J28" s="131" t="n">
        <v>0.95</v>
      </c>
      <c r="K28" s="131" t="n">
        <v>0.85</v>
      </c>
      <c r="L28" s="131" t="n">
        <v>0.97</v>
      </c>
      <c r="M28" s="75" t="n">
        <f aca="false">CHOOSE(Assumptions!$C$11,J28,K28,L28)</f>
        <v>0.95</v>
      </c>
      <c r="N28" s="131" t="n">
        <v>0.04</v>
      </c>
      <c r="O28" s="130" t="n">
        <f aca="false">F28</f>
        <v>7</v>
      </c>
      <c r="P28" s="132" t="str">
        <f aca="false">TEXT(E28,"mmmm")</f>
        <v>July</v>
      </c>
      <c r="Q28" s="65" t="n">
        <f aca="false">INDEX(Enterprise!$E$30:$AB$30,Assumptions!$C$10)</f>
        <v>5800</v>
      </c>
      <c r="R28" s="65" t="n">
        <f aca="false">SUM(Enterprise!E30:P30)</f>
        <v>34800</v>
      </c>
      <c r="S28" s="65" t="n">
        <f aca="false">SUM(Enterprise!Q30:AB30)</f>
        <v>70213.872</v>
      </c>
      <c r="T28" s="67" t="n">
        <f aca="false">IF(PL!$C$12=0,0,R28/PL!$C$12)</f>
        <v>0.00557419681419882</v>
      </c>
      <c r="U28" s="128" t="s">
        <v>1520</v>
      </c>
    </row>
    <row r="29" customFormat="false" ht="15" hidden="false" customHeight="false" outlineLevel="0" collapsed="false">
      <c r="A29" s="128" t="s">
        <v>1521</v>
      </c>
      <c r="B29" s="128" t="s">
        <v>1522</v>
      </c>
      <c r="C29" s="128" t="s">
        <v>1488</v>
      </c>
      <c r="D29" s="75" t="n">
        <f aca="false">IF(C29="ES",Assumptions!$C$18,0)</f>
        <v>0.21</v>
      </c>
      <c r="E29" s="129" t="n">
        <v>46356</v>
      </c>
      <c r="F29" s="130" t="n">
        <f aca="false">((YEAR(E29)-YEAR(Assumptions!$C$8))*12+MONTH(E29)-MONTH(Assumptions!$C$8)+1)</f>
        <v>11</v>
      </c>
      <c r="G29" s="128" t="s">
        <v>1523</v>
      </c>
      <c r="H29" s="110" t="n">
        <v>7200</v>
      </c>
      <c r="I29" s="110" t="n">
        <v>18000</v>
      </c>
      <c r="J29" s="131" t="n">
        <v>0.6</v>
      </c>
      <c r="K29" s="131" t="n">
        <v>0.35</v>
      </c>
      <c r="L29" s="131" t="n">
        <v>0.75</v>
      </c>
      <c r="M29" s="75" t="n">
        <f aca="false">CHOOSE(Assumptions!$C$11,J29,K29,L29)</f>
        <v>0.6</v>
      </c>
      <c r="N29" s="131" t="n">
        <v>0.05</v>
      </c>
      <c r="O29" s="130" t="n">
        <f aca="false">F29+Assumptions!$F$168</f>
        <v>11</v>
      </c>
      <c r="P29" s="132" t="str">
        <f aca="false">TEXT(E29,"mmmm")</f>
        <v>November</v>
      </c>
      <c r="Q29" s="65" t="n">
        <f aca="false">INDEX(Enterprise!$E$31:$AB$31,Assumptions!$C$10)</f>
        <v>0</v>
      </c>
      <c r="R29" s="65" t="n">
        <f aca="false">SUM(Enterprise!E31:P31)</f>
        <v>8640</v>
      </c>
      <c r="S29" s="65" t="n">
        <f aca="false">SUM(Enterprise!Q31:AB31)</f>
        <v>52076.952</v>
      </c>
      <c r="T29" s="67" t="n">
        <f aca="false">IF(PL!$C$12=0,0,R29/PL!$C$12)</f>
        <v>0.00138393851938729</v>
      </c>
      <c r="U29" s="128" t="s">
        <v>1524</v>
      </c>
    </row>
    <row r="30" customFormat="false" ht="15" hidden="false" customHeight="false" outlineLevel="0" collapsed="false">
      <c r="A30" s="128" t="s">
        <v>1525</v>
      </c>
      <c r="B30" s="128" t="s">
        <v>1526</v>
      </c>
      <c r="C30" s="128" t="s">
        <v>1501</v>
      </c>
      <c r="D30" s="75" t="n">
        <f aca="false">IF(C30="ES",Assumptions!$C$18,0)</f>
        <v>0</v>
      </c>
      <c r="E30" s="129" t="n">
        <v>46387</v>
      </c>
      <c r="F30" s="130" t="n">
        <f aca="false">((YEAR(E30)-YEAR(Assumptions!$C$8))*12+MONTH(E30)-MONTH(Assumptions!$C$8)+1)</f>
        <v>12</v>
      </c>
      <c r="G30" s="128" t="s">
        <v>1523</v>
      </c>
      <c r="H30" s="110" t="n">
        <v>9000</v>
      </c>
      <c r="I30" s="110" t="n">
        <v>22000</v>
      </c>
      <c r="J30" s="131" t="n">
        <v>0.5</v>
      </c>
      <c r="K30" s="131" t="n">
        <v>0.25</v>
      </c>
      <c r="L30" s="131" t="n">
        <v>0.65</v>
      </c>
      <c r="M30" s="75" t="n">
        <f aca="false">CHOOSE(Assumptions!$C$11,J30,K30,L30)</f>
        <v>0.5</v>
      </c>
      <c r="N30" s="131" t="n">
        <v>0.05</v>
      </c>
      <c r="O30" s="130" t="n">
        <f aca="false">F30+Assumptions!$F$168</f>
        <v>12</v>
      </c>
      <c r="P30" s="132" t="str">
        <f aca="false">TEXT(E30,"mmmm")</f>
        <v>December</v>
      </c>
      <c r="Q30" s="65" t="n">
        <f aca="false">INDEX(Enterprise!$E$32:$AB$32,Assumptions!$C$10)</f>
        <v>0</v>
      </c>
      <c r="R30" s="65" t="n">
        <f aca="false">SUM(Enterprise!E32:P32)</f>
        <v>4500</v>
      </c>
      <c r="S30" s="65" t="n">
        <f aca="false">SUM(Enterprise!Q32:AB32)</f>
        <v>54123.4125</v>
      </c>
      <c r="T30" s="67" t="n">
        <f aca="false">IF(PL!$C$12=0,0,R30/PL!$C$12)</f>
        <v>0.000720801312180882</v>
      </c>
      <c r="U30" s="128" t="s">
        <v>1527</v>
      </c>
    </row>
    <row r="31" customFormat="false" ht="15" hidden="false" customHeight="false" outlineLevel="0" collapsed="false">
      <c r="A31" s="128" t="s">
        <v>1528</v>
      </c>
      <c r="B31" s="128" t="s">
        <v>1529</v>
      </c>
      <c r="C31" s="128" t="s">
        <v>1499</v>
      </c>
      <c r="D31" s="75" t="n">
        <f aca="false">IF(C31="ES",Assumptions!$C$18,0)</f>
        <v>0</v>
      </c>
      <c r="E31" s="129" t="n">
        <v>46418</v>
      </c>
      <c r="F31" s="130" t="n">
        <f aca="false">((YEAR(E31)-YEAR(Assumptions!$C$8))*12+MONTH(E31)-MONTH(Assumptions!$C$8)+1)</f>
        <v>13</v>
      </c>
      <c r="G31" s="128" t="s">
        <v>1523</v>
      </c>
      <c r="H31" s="110" t="n">
        <v>6500</v>
      </c>
      <c r="I31" s="110" t="n">
        <v>16000</v>
      </c>
      <c r="J31" s="131" t="n">
        <v>0.45</v>
      </c>
      <c r="K31" s="131" t="n">
        <v>0.2</v>
      </c>
      <c r="L31" s="131" t="n">
        <v>0.6</v>
      </c>
      <c r="M31" s="75" t="n">
        <f aca="false">CHOOSE(Assumptions!$C$11,J31,K31,L31)</f>
        <v>0.45</v>
      </c>
      <c r="N31" s="131" t="n">
        <v>0.05</v>
      </c>
      <c r="O31" s="130" t="n">
        <f aca="false">F31+Assumptions!$F$168</f>
        <v>13</v>
      </c>
      <c r="P31" s="132" t="str">
        <f aca="false">TEXT(E31,"mmmm")</f>
        <v>January</v>
      </c>
      <c r="Q31" s="65" t="n">
        <f aca="false">INDEX(Enterprise!$E$33:$AB$33,Assumptions!$C$10)</f>
        <v>0</v>
      </c>
      <c r="R31" s="65" t="n">
        <f aca="false">SUM(Enterprise!E33:P33)</f>
        <v>0</v>
      </c>
      <c r="S31" s="65" t="n">
        <f aca="false">SUM(Enterprise!Q33:AB33)</f>
        <v>35100</v>
      </c>
      <c r="T31" s="67" t="n">
        <f aca="false">IF(PL!$C$12=0,0,R31/PL!$C$12)</f>
        <v>0</v>
      </c>
      <c r="U31" s="128" t="s">
        <v>1530</v>
      </c>
    </row>
    <row r="32" customFormat="false" ht="15" hidden="false" customHeight="false" outlineLevel="0" collapsed="false">
      <c r="A32" s="128" t="s">
        <v>1531</v>
      </c>
      <c r="B32" s="128" t="s">
        <v>1532</v>
      </c>
      <c r="C32" s="128" t="s">
        <v>1495</v>
      </c>
      <c r="D32" s="75" t="n">
        <f aca="false">IF(C32="ES",Assumptions!$C$18,0)</f>
        <v>0</v>
      </c>
      <c r="E32" s="129" t="n">
        <v>46446</v>
      </c>
      <c r="F32" s="130" t="n">
        <f aca="false">((YEAR(E32)-YEAR(Assumptions!$C$8))*12+MONTH(E32)-MONTH(Assumptions!$C$8)+1)</f>
        <v>14</v>
      </c>
      <c r="G32" s="128" t="s">
        <v>1523</v>
      </c>
      <c r="H32" s="110" t="n">
        <v>5400</v>
      </c>
      <c r="I32" s="110" t="n">
        <v>12000</v>
      </c>
      <c r="J32" s="131" t="n">
        <v>0.5</v>
      </c>
      <c r="K32" s="131" t="n">
        <v>0.25</v>
      </c>
      <c r="L32" s="131" t="n">
        <v>0.6</v>
      </c>
      <c r="M32" s="75" t="n">
        <f aca="false">CHOOSE(Assumptions!$C$11,J32,K32,L32)</f>
        <v>0.5</v>
      </c>
      <c r="N32" s="131" t="n">
        <v>0.05</v>
      </c>
      <c r="O32" s="130" t="n">
        <f aca="false">F32+Assumptions!$F$168</f>
        <v>14</v>
      </c>
      <c r="P32" s="132" t="str">
        <f aca="false">TEXT(E32,"mmmm")</f>
        <v>February</v>
      </c>
      <c r="Q32" s="65" t="n">
        <f aca="false">INDEX(Enterprise!$E$34:$AB$34,Assumptions!$C$10)</f>
        <v>0</v>
      </c>
      <c r="R32" s="65" t="n">
        <f aca="false">SUM(Enterprise!E34:P34)</f>
        <v>0</v>
      </c>
      <c r="S32" s="65" t="n">
        <f aca="false">SUM(Enterprise!Q34:AB34)</f>
        <v>29700</v>
      </c>
      <c r="T32" s="67" t="n">
        <f aca="false">IF(PL!$C$12=0,0,R32/PL!$C$12)</f>
        <v>0</v>
      </c>
      <c r="U32" s="128" t="s">
        <v>1533</v>
      </c>
    </row>
    <row r="33" customFormat="false" ht="15" hidden="false" customHeight="false" outlineLevel="0" collapsed="false">
      <c r="A33" s="128" t="s">
        <v>1534</v>
      </c>
      <c r="B33" s="128" t="s">
        <v>1535</v>
      </c>
      <c r="C33" s="128" t="s">
        <v>1509</v>
      </c>
      <c r="D33" s="75" t="n">
        <f aca="false">IF(C33="ES",Assumptions!$C$18,0)</f>
        <v>0</v>
      </c>
      <c r="E33" s="129" t="n">
        <v>46477</v>
      </c>
      <c r="F33" s="130" t="n">
        <f aca="false">((YEAR(E33)-YEAR(Assumptions!$C$8))*12+MONTH(E33)-MONTH(Assumptions!$C$8)+1)</f>
        <v>15</v>
      </c>
      <c r="G33" s="128" t="s">
        <v>1523</v>
      </c>
      <c r="H33" s="110" t="n">
        <v>7800</v>
      </c>
      <c r="I33" s="110" t="n">
        <v>20000</v>
      </c>
      <c r="J33" s="131" t="n">
        <v>0.4</v>
      </c>
      <c r="K33" s="131" t="n">
        <v>0.15</v>
      </c>
      <c r="L33" s="131" t="n">
        <v>0.55</v>
      </c>
      <c r="M33" s="75" t="n">
        <f aca="false">CHOOSE(Assumptions!$C$11,J33,K33,L33)</f>
        <v>0.4</v>
      </c>
      <c r="N33" s="131" t="n">
        <v>0.05</v>
      </c>
      <c r="O33" s="130" t="n">
        <f aca="false">F33+Assumptions!$F$168</f>
        <v>15</v>
      </c>
      <c r="P33" s="132" t="str">
        <f aca="false">TEXT(E33,"mmmm")</f>
        <v>March</v>
      </c>
      <c r="Q33" s="65" t="n">
        <f aca="false">INDEX(Enterprise!$E$35:$AB$35,Assumptions!$C$10)</f>
        <v>0</v>
      </c>
      <c r="R33" s="65" t="n">
        <f aca="false">SUM(Enterprise!E35:P35)</f>
        <v>0</v>
      </c>
      <c r="S33" s="65" t="n">
        <f aca="false">SUM(Enterprise!Q35:AB35)</f>
        <v>31200</v>
      </c>
      <c r="T33" s="67" t="n">
        <f aca="false">IF(PL!$C$12=0,0,R33/PL!$C$12)</f>
        <v>0</v>
      </c>
      <c r="U33" s="128" t="s">
        <v>1536</v>
      </c>
    </row>
    <row r="34" customFormat="false" ht="15" hidden="false" customHeight="false" outlineLevel="0" collapsed="false">
      <c r="A34" s="128" t="s">
        <v>1537</v>
      </c>
      <c r="B34" s="128" t="s">
        <v>1538</v>
      </c>
      <c r="C34" s="128" t="s">
        <v>1488</v>
      </c>
      <c r="D34" s="75" t="n">
        <f aca="false">IF(C34="ES",Assumptions!$C$18,0)</f>
        <v>0.21</v>
      </c>
      <c r="E34" s="129" t="n">
        <v>46507</v>
      </c>
      <c r="F34" s="130" t="n">
        <f aca="false">((YEAR(E34)-YEAR(Assumptions!$C$8))*12+MONTH(E34)-MONTH(Assumptions!$C$8)+1)</f>
        <v>16</v>
      </c>
      <c r="G34" s="128" t="s">
        <v>1523</v>
      </c>
      <c r="H34" s="110" t="n">
        <v>6000</v>
      </c>
      <c r="I34" s="110" t="n">
        <v>15000</v>
      </c>
      <c r="J34" s="131" t="n">
        <v>0.5</v>
      </c>
      <c r="K34" s="131" t="n">
        <v>0.3</v>
      </c>
      <c r="L34" s="131" t="n">
        <v>0.65</v>
      </c>
      <c r="M34" s="75" t="n">
        <f aca="false">CHOOSE(Assumptions!$C$11,J34,K34,L34)</f>
        <v>0.5</v>
      </c>
      <c r="N34" s="131" t="n">
        <v>0.05</v>
      </c>
      <c r="O34" s="130" t="n">
        <f aca="false">F34+Assumptions!$F$168</f>
        <v>16</v>
      </c>
      <c r="P34" s="132" t="str">
        <f aca="false">TEXT(E34,"mmmm")</f>
        <v>April</v>
      </c>
      <c r="Q34" s="65" t="n">
        <f aca="false">INDEX(Enterprise!$E$36:$AB$36,Assumptions!$C$10)</f>
        <v>0</v>
      </c>
      <c r="R34" s="65" t="n">
        <f aca="false">SUM(Enterprise!E36:P36)</f>
        <v>0</v>
      </c>
      <c r="S34" s="65" t="n">
        <f aca="false">SUM(Enterprise!Q36:AB36)</f>
        <v>27000</v>
      </c>
      <c r="T34" s="67" t="n">
        <f aca="false">IF(PL!$C$12=0,0,R34/PL!$C$12)</f>
        <v>0</v>
      </c>
      <c r="U34" s="128" t="s">
        <v>1533</v>
      </c>
    </row>
    <row r="35" customFormat="false" ht="15" hidden="false" customHeight="false" outlineLevel="0" collapsed="false">
      <c r="A35" s="83" t="s">
        <v>744</v>
      </c>
      <c r="H35" s="84" t="n">
        <f aca="false">SUMIFS(H7:H34,F7:F34,"&lt;=0")</f>
        <v>133828.86</v>
      </c>
      <c r="Q35" s="84" t="n">
        <f aca="false">SUM(Q7:Q34)</f>
        <v>152311.25</v>
      </c>
      <c r="R35" s="84" t="n">
        <f aca="false">SUM(R7:R34)</f>
        <v>1759082.28732016</v>
      </c>
      <c r="S35" s="84" t="n">
        <f aca="false">SUM(S7:S34)</f>
        <v>2040003.16131394</v>
      </c>
      <c r="T35" s="133" t="n">
        <f aca="false">SUM(T7:T34)</f>
        <v>0.281766404652115</v>
      </c>
    </row>
    <row r="37" customFormat="false" ht="15" hidden="false" customHeight="false" outlineLevel="0" collapsed="false">
      <c r="A37" s="25" t="s">
        <v>1539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2"/>
    <col collapsed="false" customWidth="true" hidden="false" outlineLevel="0" max="7" min="3" style="0" width="13"/>
    <col collapsed="false" customWidth="true" hidden="false" outlineLevel="0" max="8" min="8" style="0" width="70"/>
  </cols>
  <sheetData>
    <row r="1" customFormat="false" ht="15" hidden="false" customHeight="false" outlineLevel="0" collapsed="false">
      <c r="A1" s="20" t="s">
        <v>1540</v>
      </c>
    </row>
    <row r="2" customFormat="false" ht="17.35" hidden="false" customHeight="false" outlineLevel="0" collapsed="false">
      <c r="A2" s="21" t="s">
        <v>1541</v>
      </c>
    </row>
    <row r="3" customFormat="false" ht="15" hidden="false" customHeight="false" outlineLevel="0" collapsed="false">
      <c r="A3" s="25" t="s">
        <v>1542</v>
      </c>
    </row>
    <row r="5" customFormat="false" ht="15" hidden="false" customHeight="false" outlineLevel="0" collapsed="false">
      <c r="A5" s="22" t="s">
        <v>1543</v>
      </c>
      <c r="B5" s="23"/>
      <c r="C5" s="23"/>
      <c r="D5" s="23"/>
      <c r="E5" s="23"/>
      <c r="F5" s="23"/>
      <c r="G5" s="23"/>
      <c r="H5" s="23"/>
    </row>
    <row r="6" customFormat="false" ht="15" hidden="false" customHeight="false" outlineLevel="0" collapsed="false">
      <c r="A6" s="28" t="s">
        <v>1544</v>
      </c>
      <c r="B6" s="63"/>
      <c r="C6" s="128" t="s">
        <v>1545</v>
      </c>
      <c r="D6" s="63" t="s">
        <v>1546</v>
      </c>
    </row>
    <row r="7" customFormat="false" ht="15" hidden="false" customHeight="false" outlineLevel="0" collapsed="false">
      <c r="A7" s="28" t="s">
        <v>1547</v>
      </c>
      <c r="B7" s="63"/>
      <c r="C7" s="128" t="s">
        <v>600</v>
      </c>
    </row>
    <row r="8" customFormat="false" ht="15" hidden="false" customHeight="false" outlineLevel="0" collapsed="false">
      <c r="A8" s="28" t="s">
        <v>1548</v>
      </c>
      <c r="B8" s="63" t="s">
        <v>1549</v>
      </c>
      <c r="C8" s="125" t="n">
        <v>46053</v>
      </c>
      <c r="D8" s="63" t="s">
        <v>1550</v>
      </c>
    </row>
    <row r="9" customFormat="false" ht="15" hidden="false" customHeight="false" outlineLevel="0" collapsed="false">
      <c r="A9" s="28" t="s">
        <v>1551</v>
      </c>
      <c r="B9" s="63" t="s">
        <v>1549</v>
      </c>
      <c r="C9" s="125" t="n">
        <v>46265</v>
      </c>
      <c r="D9" s="63" t="s">
        <v>1552</v>
      </c>
    </row>
    <row r="10" customFormat="false" ht="15" hidden="false" customHeight="false" outlineLevel="0" collapsed="false">
      <c r="A10" s="28" t="s">
        <v>1553</v>
      </c>
      <c r="B10" s="63" t="s">
        <v>1554</v>
      </c>
      <c r="C10" s="36" t="n">
        <f aca="false">MATCH(Assumptions!$C$9,Assumptions!$E$188:$AB$188,0)</f>
        <v>8</v>
      </c>
    </row>
    <row r="11" customFormat="false" ht="15" hidden="false" customHeight="false" outlineLevel="0" collapsed="false">
      <c r="A11" s="28" t="s">
        <v>1555</v>
      </c>
      <c r="B11" s="63" t="s">
        <v>1556</v>
      </c>
      <c r="C11" s="134" t="n">
        <v>1</v>
      </c>
      <c r="D11" s="63" t="s">
        <v>1557</v>
      </c>
    </row>
    <row r="12" customFormat="false" ht="15" hidden="false" customHeight="false" outlineLevel="0" collapsed="false">
      <c r="A12" s="28" t="s">
        <v>1558</v>
      </c>
      <c r="B12" s="63" t="s">
        <v>1554</v>
      </c>
      <c r="C12" s="135" t="str">
        <f aca="false">CHOOSE(Assumptions!$C$11,"Base","Downside","Upside")</f>
        <v>Base</v>
      </c>
    </row>
    <row r="13" customFormat="false" ht="15" hidden="false" customHeight="false" outlineLevel="0" collapsed="false">
      <c r="A13" s="28" t="s">
        <v>1559</v>
      </c>
      <c r="B13" s="63" t="s">
        <v>600</v>
      </c>
      <c r="C13" s="110" t="n">
        <v>1000000</v>
      </c>
      <c r="D13" s="63" t="s">
        <v>1560</v>
      </c>
    </row>
    <row r="14" customFormat="false" ht="15" hidden="false" customHeight="false" outlineLevel="0" collapsed="false">
      <c r="A14" s="28" t="s">
        <v>718</v>
      </c>
      <c r="B14" s="63" t="s">
        <v>600</v>
      </c>
      <c r="C14" s="110" t="n">
        <v>0</v>
      </c>
      <c r="D14" s="63" t="s">
        <v>1561</v>
      </c>
    </row>
    <row r="15" customFormat="false" ht="15" hidden="false" customHeight="false" outlineLevel="0" collapsed="false">
      <c r="A15" s="28" t="s">
        <v>1562</v>
      </c>
      <c r="B15" s="63" t="s">
        <v>1554</v>
      </c>
      <c r="C15" s="115" t="n">
        <f aca="false">Assumptions!$C$9</f>
        <v>46265</v>
      </c>
    </row>
    <row r="17" customFormat="false" ht="15" hidden="false" customHeight="false" outlineLevel="0" collapsed="false">
      <c r="A17" s="22" t="s">
        <v>1563</v>
      </c>
      <c r="B17" s="23"/>
      <c r="C17" s="23"/>
      <c r="D17" s="23"/>
      <c r="E17" s="23"/>
      <c r="F17" s="23"/>
      <c r="G17" s="23"/>
      <c r="H17" s="23"/>
    </row>
    <row r="18" customFormat="false" ht="15" hidden="false" customHeight="false" outlineLevel="0" collapsed="false">
      <c r="A18" s="28" t="s">
        <v>1564</v>
      </c>
      <c r="B18" s="63" t="s">
        <v>1565</v>
      </c>
      <c r="C18" s="131" t="n">
        <v>0.21</v>
      </c>
      <c r="D18" s="63" t="s">
        <v>1566</v>
      </c>
    </row>
    <row r="19" customFormat="false" ht="15" hidden="false" customHeight="false" outlineLevel="0" collapsed="false">
      <c r="A19" s="28" t="s">
        <v>1567</v>
      </c>
      <c r="D19" s="63" t="s">
        <v>1568</v>
      </c>
    </row>
    <row r="20" customFormat="false" ht="15" hidden="false" customHeight="false" outlineLevel="0" collapsed="false">
      <c r="A20" s="28" t="s">
        <v>1569</v>
      </c>
      <c r="B20" s="63" t="s">
        <v>1570</v>
      </c>
      <c r="C20" s="131" t="n">
        <v>0.64</v>
      </c>
      <c r="D20" s="63" t="s">
        <v>1571</v>
      </c>
    </row>
    <row r="21" customFormat="false" ht="15" hidden="false" customHeight="false" outlineLevel="0" collapsed="false">
      <c r="A21" s="28" t="s">
        <v>1572</v>
      </c>
      <c r="B21" s="63" t="s">
        <v>1570</v>
      </c>
      <c r="C21" s="131" t="n">
        <v>0.22</v>
      </c>
    </row>
    <row r="22" customFormat="false" ht="15" hidden="false" customHeight="false" outlineLevel="0" collapsed="false">
      <c r="A22" s="28" t="s">
        <v>1573</v>
      </c>
      <c r="B22" s="63" t="s">
        <v>1570</v>
      </c>
      <c r="C22" s="131" t="n">
        <v>0.14</v>
      </c>
    </row>
    <row r="23" customFormat="false" ht="15" hidden="false" customHeight="false" outlineLevel="0" collapsed="false">
      <c r="A23" s="28" t="s">
        <v>1574</v>
      </c>
      <c r="B23" s="63" t="s">
        <v>1570</v>
      </c>
      <c r="C23" s="131" t="n">
        <v>0.61</v>
      </c>
      <c r="D23" s="63" t="s">
        <v>1571</v>
      </c>
    </row>
    <row r="24" customFormat="false" ht="15" hidden="false" customHeight="false" outlineLevel="0" collapsed="false">
      <c r="A24" s="28" t="s">
        <v>1575</v>
      </c>
      <c r="B24" s="63" t="s">
        <v>1570</v>
      </c>
      <c r="C24" s="131" t="n">
        <v>0.24</v>
      </c>
    </row>
    <row r="25" customFormat="false" ht="15" hidden="false" customHeight="false" outlineLevel="0" collapsed="false">
      <c r="A25" s="28" t="s">
        <v>1576</v>
      </c>
      <c r="B25" s="63" t="s">
        <v>1570</v>
      </c>
      <c r="C25" s="131" t="n">
        <v>0.15</v>
      </c>
    </row>
    <row r="26" customFormat="false" ht="15" hidden="false" customHeight="false" outlineLevel="0" collapsed="false">
      <c r="A26" s="28" t="s">
        <v>1577</v>
      </c>
      <c r="B26" s="63" t="s">
        <v>1570</v>
      </c>
      <c r="C26" s="131" t="n">
        <v>0.55</v>
      </c>
      <c r="D26" s="63" t="s">
        <v>1578</v>
      </c>
    </row>
    <row r="27" customFormat="false" ht="15" hidden="false" customHeight="false" outlineLevel="0" collapsed="false">
      <c r="A27" s="28" t="s">
        <v>1579</v>
      </c>
      <c r="B27" s="63" t="s">
        <v>600</v>
      </c>
      <c r="C27" s="136" t="n">
        <v>6010121.04</v>
      </c>
      <c r="D27" s="63" t="s">
        <v>1580</v>
      </c>
    </row>
    <row r="28" customFormat="false" ht="15" hidden="false" customHeight="false" outlineLevel="0" collapsed="false">
      <c r="A28" s="28" t="s">
        <v>1581</v>
      </c>
      <c r="B28" s="63" t="s">
        <v>1554</v>
      </c>
      <c r="C28" s="36" t="n">
        <f aca="false">Billings!$C$14</f>
        <v>6890834.36276776</v>
      </c>
    </row>
    <row r="29" customFormat="false" ht="15" hidden="false" customHeight="false" outlineLevel="0" collapsed="false">
      <c r="A29" s="28" t="s">
        <v>1582</v>
      </c>
      <c r="B29" s="63" t="s">
        <v>1554</v>
      </c>
      <c r="C29" s="38" t="n">
        <f aca="false">IF(Assumptions!$C$28&gt;Assumptions!$C$27,1,0)</f>
        <v>1</v>
      </c>
    </row>
    <row r="30" customFormat="false" ht="15" hidden="false" customHeight="false" outlineLevel="0" collapsed="false">
      <c r="A30" s="28" t="s">
        <v>1583</v>
      </c>
      <c r="D30" s="63" t="s">
        <v>1584</v>
      </c>
    </row>
    <row r="31" customFormat="false" ht="15" hidden="false" customHeight="false" outlineLevel="0" collapsed="false">
      <c r="A31" s="28" t="s">
        <v>1585</v>
      </c>
      <c r="B31" s="63" t="s">
        <v>1565</v>
      </c>
      <c r="C31" s="131" t="n">
        <v>0.23</v>
      </c>
      <c r="D31" s="63" t="s">
        <v>1586</v>
      </c>
    </row>
    <row r="32" customFormat="false" ht="15" hidden="false" customHeight="false" outlineLevel="0" collapsed="false">
      <c r="A32" s="28" t="s">
        <v>1587</v>
      </c>
      <c r="B32" s="63" t="s">
        <v>1565</v>
      </c>
      <c r="C32" s="131" t="n">
        <v>0.22</v>
      </c>
      <c r="D32" s="63" t="s">
        <v>1588</v>
      </c>
    </row>
    <row r="33" customFormat="false" ht="15" hidden="false" customHeight="false" outlineLevel="0" collapsed="false">
      <c r="A33" s="28" t="s">
        <v>1589</v>
      </c>
      <c r="B33" s="63" t="s">
        <v>600</v>
      </c>
      <c r="C33" s="110" t="n">
        <v>6850000</v>
      </c>
      <c r="D33" s="63" t="s">
        <v>1590</v>
      </c>
    </row>
    <row r="34" customFormat="false" ht="15" hidden="false" customHeight="false" outlineLevel="0" collapsed="false">
      <c r="A34" s="28" t="s">
        <v>1591</v>
      </c>
      <c r="B34" s="63" t="s">
        <v>1570</v>
      </c>
      <c r="C34" s="131" t="n">
        <v>0.7</v>
      </c>
      <c r="D34" s="63" t="s">
        <v>1592</v>
      </c>
    </row>
    <row r="35" customFormat="false" ht="15" hidden="false" customHeight="false" outlineLevel="0" collapsed="false">
      <c r="A35" s="28" t="s">
        <v>1593</v>
      </c>
      <c r="B35" s="63" t="s">
        <v>600</v>
      </c>
      <c r="C35" s="110" t="n">
        <v>1000000</v>
      </c>
    </row>
    <row r="36" customFormat="false" ht="15" hidden="false" customHeight="false" outlineLevel="0" collapsed="false">
      <c r="A36" s="28" t="s">
        <v>1594</v>
      </c>
      <c r="B36" s="63" t="s">
        <v>1565</v>
      </c>
      <c r="C36" s="131" t="n">
        <v>0.19</v>
      </c>
      <c r="D36" s="63" t="s">
        <v>1595</v>
      </c>
    </row>
    <row r="37" customFormat="false" ht="15" hidden="false" customHeight="false" outlineLevel="0" collapsed="false">
      <c r="A37" s="28" t="s">
        <v>1596</v>
      </c>
      <c r="D37" s="63" t="s">
        <v>1597</v>
      </c>
    </row>
    <row r="39" customFormat="false" ht="15" hidden="false" customHeight="false" outlineLevel="0" collapsed="false">
      <c r="A39" s="22" t="s">
        <v>1598</v>
      </c>
      <c r="B39" s="23"/>
      <c r="C39" s="23"/>
      <c r="D39" s="23"/>
      <c r="E39" s="23"/>
      <c r="F39" s="23"/>
      <c r="G39" s="23"/>
      <c r="H39" s="23"/>
    </row>
    <row r="40" customFormat="false" ht="15" hidden="false" customHeight="false" outlineLevel="0" collapsed="false">
      <c r="A40" s="28" t="s">
        <v>1599</v>
      </c>
      <c r="B40" s="63" t="s">
        <v>1565</v>
      </c>
      <c r="C40" s="137" t="n">
        <v>0.236</v>
      </c>
      <c r="D40" s="63" t="s">
        <v>1600</v>
      </c>
    </row>
    <row r="41" customFormat="false" ht="15" hidden="false" customHeight="false" outlineLevel="0" collapsed="false">
      <c r="A41" s="28" t="s">
        <v>1601</v>
      </c>
      <c r="B41" s="63" t="s">
        <v>1565</v>
      </c>
      <c r="C41" s="137" t="n">
        <v>0.047</v>
      </c>
    </row>
    <row r="42" customFormat="false" ht="15" hidden="false" customHeight="false" outlineLevel="0" collapsed="false">
      <c r="A42" s="28" t="s">
        <v>1602</v>
      </c>
      <c r="B42" s="63" t="s">
        <v>1565</v>
      </c>
      <c r="C42" s="137" t="n">
        <v>0.0075</v>
      </c>
      <c r="D42" s="63" t="s">
        <v>1603</v>
      </c>
    </row>
    <row r="43" customFormat="false" ht="15" hidden="false" customHeight="false" outlineLevel="0" collapsed="false">
      <c r="A43" s="28" t="s">
        <v>1604</v>
      </c>
      <c r="B43" s="63" t="s">
        <v>1565</v>
      </c>
      <c r="C43" s="137" t="n">
        <v>0.0015</v>
      </c>
    </row>
    <row r="44" customFormat="false" ht="15" hidden="false" customHeight="false" outlineLevel="0" collapsed="false">
      <c r="A44" s="28" t="s">
        <v>1605</v>
      </c>
      <c r="B44" s="63" t="s">
        <v>1565</v>
      </c>
      <c r="C44" s="137" t="n">
        <v>0.0083</v>
      </c>
      <c r="D44" s="63" t="s">
        <v>1606</v>
      </c>
    </row>
    <row r="45" customFormat="false" ht="15" hidden="false" customHeight="false" outlineLevel="0" collapsed="false">
      <c r="A45" s="28" t="s">
        <v>1607</v>
      </c>
      <c r="B45" s="63" t="s">
        <v>1565</v>
      </c>
      <c r="C45" s="137" t="n">
        <v>0.0017</v>
      </c>
    </row>
    <row r="46" customFormat="false" ht="15" hidden="false" customHeight="false" outlineLevel="0" collapsed="false">
      <c r="A46" s="28" t="s">
        <v>1608</v>
      </c>
      <c r="B46" s="63" t="s">
        <v>1565</v>
      </c>
      <c r="C46" s="137" t="n">
        <v>0.055</v>
      </c>
      <c r="D46" s="63" t="s">
        <v>1609</v>
      </c>
    </row>
    <row r="47" customFormat="false" ht="15" hidden="false" customHeight="false" outlineLevel="0" collapsed="false">
      <c r="A47" s="28" t="s">
        <v>1610</v>
      </c>
      <c r="B47" s="63" t="s">
        <v>1565</v>
      </c>
      <c r="C47" s="137" t="n">
        <v>0.0155</v>
      </c>
    </row>
    <row r="48" customFormat="false" ht="15" hidden="false" customHeight="false" outlineLevel="0" collapsed="false">
      <c r="A48" s="28" t="s">
        <v>1611</v>
      </c>
      <c r="B48" s="63" t="s">
        <v>1565</v>
      </c>
      <c r="C48" s="137" t="n">
        <v>0.002</v>
      </c>
      <c r="D48" s="63" t="s">
        <v>1612</v>
      </c>
    </row>
    <row r="49" customFormat="false" ht="15" hidden="false" customHeight="false" outlineLevel="0" collapsed="false">
      <c r="A49" s="28" t="s">
        <v>1613</v>
      </c>
      <c r="B49" s="63" t="s">
        <v>1565</v>
      </c>
      <c r="C49" s="137" t="n">
        <v>0.006</v>
      </c>
      <c r="D49" s="63" t="s">
        <v>1614</v>
      </c>
    </row>
    <row r="50" customFormat="false" ht="15" hidden="false" customHeight="false" outlineLevel="0" collapsed="false">
      <c r="A50" s="28" t="s">
        <v>1615</v>
      </c>
      <c r="B50" s="63" t="s">
        <v>1565</v>
      </c>
      <c r="C50" s="137" t="n">
        <v>0.001</v>
      </c>
    </row>
    <row r="51" customFormat="false" ht="15" hidden="false" customHeight="false" outlineLevel="0" collapsed="false">
      <c r="A51" s="28" t="s">
        <v>1616</v>
      </c>
      <c r="B51" s="63" t="s">
        <v>1565</v>
      </c>
      <c r="C51" s="137" t="n">
        <v>0.015</v>
      </c>
      <c r="D51" s="63" t="s">
        <v>1617</v>
      </c>
    </row>
    <row r="52" customFormat="false" ht="15" hidden="false" customHeight="false" outlineLevel="0" collapsed="false">
      <c r="A52" s="28" t="s">
        <v>1618</v>
      </c>
      <c r="B52" s="63" t="s">
        <v>1554</v>
      </c>
      <c r="C52" s="138" t="n">
        <f aca="false">Assumptions!$C$40+Assumptions!$C$42+Assumptions!$C$46+Assumptions!$C$48+Assumptions!$C$49+Assumptions!$C$51</f>
        <v>0.3215</v>
      </c>
    </row>
    <row r="53" customFormat="false" ht="15" hidden="false" customHeight="false" outlineLevel="0" collapsed="false">
      <c r="A53" s="28" t="s">
        <v>1619</v>
      </c>
      <c r="B53" s="63" t="s">
        <v>1554</v>
      </c>
      <c r="C53" s="138" t="n">
        <f aca="false">Assumptions!$C$40+Assumptions!$C$44+Assumptions!$C$46+Assumptions!$C$48+Assumptions!$C$49+Assumptions!$C$51</f>
        <v>0.3223</v>
      </c>
    </row>
    <row r="54" customFormat="false" ht="15" hidden="false" customHeight="false" outlineLevel="0" collapsed="false">
      <c r="A54" s="28" t="s">
        <v>1620</v>
      </c>
      <c r="B54" s="63" t="s">
        <v>1554</v>
      </c>
      <c r="C54" s="138" t="n">
        <f aca="false">Assumptions!$C$41+Assumptions!$C$43+Assumptions!$C$47+Assumptions!$C$50</f>
        <v>0.065</v>
      </c>
    </row>
    <row r="55" customFormat="false" ht="15" hidden="false" customHeight="false" outlineLevel="0" collapsed="false">
      <c r="A55" s="28" t="s">
        <v>1621</v>
      </c>
      <c r="B55" s="63" t="s">
        <v>1554</v>
      </c>
      <c r="C55" s="138" t="n">
        <f aca="false">Assumptions!$C$41+Assumptions!$C$45+Assumptions!$C$47+Assumptions!$C$50</f>
        <v>0.0652</v>
      </c>
    </row>
    <row r="56" customFormat="false" ht="15" hidden="false" customHeight="false" outlineLevel="0" collapsed="false">
      <c r="A56" s="28" t="s">
        <v>1622</v>
      </c>
      <c r="B56" s="63" t="s">
        <v>600</v>
      </c>
      <c r="C56" s="136" t="n">
        <v>5101.2</v>
      </c>
      <c r="D56" s="63" t="s">
        <v>1623</v>
      </c>
    </row>
    <row r="57" customFormat="false" ht="15" hidden="false" customHeight="false" outlineLevel="0" collapsed="false">
      <c r="A57" s="28" t="s">
        <v>1624</v>
      </c>
      <c r="B57" s="63" t="s">
        <v>600</v>
      </c>
      <c r="C57" s="136" t="n">
        <v>5290</v>
      </c>
      <c r="D57" s="63" t="s">
        <v>1625</v>
      </c>
    </row>
    <row r="58" customFormat="false" ht="15" hidden="false" customHeight="false" outlineLevel="0" collapsed="false">
      <c r="A58" s="28" t="s">
        <v>1626</v>
      </c>
      <c r="B58" s="63" t="s">
        <v>1565</v>
      </c>
      <c r="C58" s="137" t="n">
        <v>0.0096</v>
      </c>
      <c r="D58" s="63" t="s">
        <v>1627</v>
      </c>
    </row>
    <row r="59" customFormat="false" ht="15" hidden="false" customHeight="false" outlineLevel="0" collapsed="false">
      <c r="A59" s="28" t="s">
        <v>1628</v>
      </c>
      <c r="B59" s="63" t="s">
        <v>1565</v>
      </c>
      <c r="C59" s="137" t="n">
        <v>0.0104</v>
      </c>
    </row>
    <row r="60" customFormat="false" ht="15" hidden="false" customHeight="false" outlineLevel="0" collapsed="false">
      <c r="A60" s="28" t="s">
        <v>1629</v>
      </c>
      <c r="B60" s="63" t="s">
        <v>1565</v>
      </c>
      <c r="C60" s="137" t="n">
        <v>0.0122</v>
      </c>
    </row>
    <row r="61" customFormat="false" ht="15" hidden="false" customHeight="false" outlineLevel="0" collapsed="false">
      <c r="A61" s="28" t="s">
        <v>1630</v>
      </c>
      <c r="B61" s="63" t="s">
        <v>1565</v>
      </c>
      <c r="C61" s="137" t="n">
        <v>0.0019</v>
      </c>
    </row>
    <row r="62" customFormat="false" ht="15" hidden="false" customHeight="false" outlineLevel="0" collapsed="false">
      <c r="A62" s="28" t="s">
        <v>1631</v>
      </c>
      <c r="B62" s="63" t="s">
        <v>1565</v>
      </c>
      <c r="C62" s="137" t="n">
        <v>0.0021</v>
      </c>
    </row>
    <row r="63" customFormat="false" ht="15" hidden="false" customHeight="false" outlineLevel="0" collapsed="false">
      <c r="A63" s="28" t="s">
        <v>1632</v>
      </c>
      <c r="B63" s="63" t="s">
        <v>1565</v>
      </c>
      <c r="C63" s="137" t="n">
        <v>0.0024</v>
      </c>
    </row>
    <row r="64" customFormat="false" ht="15" hidden="false" customHeight="false" outlineLevel="0" collapsed="false">
      <c r="A64" s="28" t="s">
        <v>1633</v>
      </c>
      <c r="B64" s="63" t="s">
        <v>1565</v>
      </c>
      <c r="C64" s="137" t="n">
        <v>0.0115</v>
      </c>
      <c r="D64" s="63" t="s">
        <v>1634</v>
      </c>
    </row>
    <row r="65" customFormat="false" ht="15" hidden="false" customHeight="false" outlineLevel="0" collapsed="false">
      <c r="A65" s="28" t="s">
        <v>1635</v>
      </c>
      <c r="B65" s="63" t="s">
        <v>1565</v>
      </c>
      <c r="C65" s="137" t="n">
        <v>0.0125</v>
      </c>
    </row>
    <row r="66" customFormat="false" ht="15" hidden="false" customHeight="false" outlineLevel="0" collapsed="false">
      <c r="A66" s="28" t="s">
        <v>1636</v>
      </c>
      <c r="B66" s="63" t="s">
        <v>1565</v>
      </c>
      <c r="C66" s="137" t="n">
        <v>0.0146</v>
      </c>
    </row>
    <row r="67" customFormat="false" ht="15" hidden="false" customHeight="false" outlineLevel="0" collapsed="false">
      <c r="A67" s="28" t="s">
        <v>1637</v>
      </c>
      <c r="B67" s="63" t="s">
        <v>1565</v>
      </c>
      <c r="C67" s="137" t="n">
        <v>0.0023</v>
      </c>
    </row>
    <row r="68" customFormat="false" ht="15" hidden="false" customHeight="false" outlineLevel="0" collapsed="false">
      <c r="A68" s="28" t="s">
        <v>1638</v>
      </c>
      <c r="B68" s="63" t="s">
        <v>1565</v>
      </c>
      <c r="C68" s="137" t="n">
        <v>0.0025</v>
      </c>
    </row>
    <row r="69" customFormat="false" ht="15" hidden="false" customHeight="false" outlineLevel="0" collapsed="false">
      <c r="A69" s="28" t="s">
        <v>1639</v>
      </c>
      <c r="B69" s="63" t="s">
        <v>1565</v>
      </c>
      <c r="C69" s="137" t="n">
        <v>0.0029</v>
      </c>
    </row>
    <row r="70" customFormat="false" ht="15" hidden="false" customHeight="false" outlineLevel="0" collapsed="false">
      <c r="A70" s="28" t="s">
        <v>1640</v>
      </c>
      <c r="D70" s="63" t="s">
        <v>1641</v>
      </c>
    </row>
    <row r="71" customFormat="false" ht="15" hidden="false" customHeight="false" outlineLevel="0" collapsed="false">
      <c r="A71" s="28" t="s">
        <v>1642</v>
      </c>
      <c r="B71" s="63" t="s">
        <v>1643</v>
      </c>
      <c r="C71" s="139" t="n">
        <v>20</v>
      </c>
      <c r="D71" s="63" t="s">
        <v>1644</v>
      </c>
    </row>
    <row r="72" customFormat="false" ht="15" hidden="false" customHeight="false" outlineLevel="0" collapsed="false">
      <c r="A72" s="28" t="s">
        <v>1645</v>
      </c>
      <c r="B72" s="63" t="s">
        <v>1646</v>
      </c>
      <c r="C72" s="140" t="n">
        <v>2.5</v>
      </c>
      <c r="D72" s="63" t="s">
        <v>1647</v>
      </c>
    </row>
    <row r="74" customFormat="false" ht="15" hidden="false" customHeight="false" outlineLevel="0" collapsed="false">
      <c r="A74" s="22" t="s">
        <v>1648</v>
      </c>
      <c r="B74" s="23"/>
      <c r="C74" s="23"/>
      <c r="D74" s="23"/>
      <c r="E74" s="23"/>
      <c r="F74" s="23"/>
      <c r="G74" s="23"/>
      <c r="H74" s="23"/>
    </row>
    <row r="75" customFormat="false" ht="42" hidden="false" customHeight="true" outlineLevel="0" collapsed="false">
      <c r="A75" s="26" t="s">
        <v>1649</v>
      </c>
      <c r="B75" s="27" t="s">
        <v>754</v>
      </c>
      <c r="C75" s="27" t="s">
        <v>1650</v>
      </c>
      <c r="D75" s="27" t="s">
        <v>1651</v>
      </c>
      <c r="E75" s="27" t="s">
        <v>1652</v>
      </c>
      <c r="F75" s="27" t="s">
        <v>1653</v>
      </c>
      <c r="G75" s="27" t="s">
        <v>1654</v>
      </c>
      <c r="H75" s="27" t="s">
        <v>1655</v>
      </c>
    </row>
    <row r="76" customFormat="false" ht="15" hidden="false" customHeight="false" outlineLevel="0" collapsed="false">
      <c r="A76" s="0" t="s">
        <v>1069</v>
      </c>
      <c r="B76" s="0" t="s">
        <v>1656</v>
      </c>
      <c r="C76" s="0" t="s">
        <v>1657</v>
      </c>
      <c r="D76" s="110" t="n">
        <v>90000</v>
      </c>
      <c r="E76" s="131" t="n">
        <v>0.3</v>
      </c>
      <c r="F76" s="139" t="n">
        <v>3</v>
      </c>
      <c r="G76" s="131" t="n">
        <v>0</v>
      </c>
      <c r="H76" s="63" t="s">
        <v>1658</v>
      </c>
    </row>
    <row r="77" customFormat="false" ht="15" hidden="false" customHeight="false" outlineLevel="0" collapsed="false">
      <c r="A77" s="0" t="s">
        <v>1071</v>
      </c>
      <c r="B77" s="0" t="s">
        <v>1659</v>
      </c>
      <c r="C77" s="0" t="s">
        <v>1657</v>
      </c>
      <c r="D77" s="110" t="n">
        <v>58000</v>
      </c>
      <c r="E77" s="131" t="n">
        <v>0.22</v>
      </c>
      <c r="F77" s="139" t="n">
        <v>9</v>
      </c>
      <c r="G77" s="131" t="n">
        <v>0</v>
      </c>
    </row>
    <row r="78" customFormat="false" ht="15" hidden="false" customHeight="false" outlineLevel="0" collapsed="false">
      <c r="A78" s="0" t="s">
        <v>1072</v>
      </c>
      <c r="B78" s="0" t="s">
        <v>1660</v>
      </c>
      <c r="C78" s="0" t="s">
        <v>1657</v>
      </c>
      <c r="D78" s="110" t="n">
        <v>44000</v>
      </c>
      <c r="E78" s="131" t="n">
        <v>0.18</v>
      </c>
      <c r="F78" s="139" t="n">
        <v>12</v>
      </c>
      <c r="G78" s="131" t="n">
        <v>0.375</v>
      </c>
    </row>
    <row r="79" customFormat="false" ht="15" hidden="false" customHeight="false" outlineLevel="0" collapsed="false">
      <c r="A79" s="0" t="s">
        <v>1073</v>
      </c>
      <c r="B79" s="0" t="s">
        <v>1661</v>
      </c>
      <c r="C79" s="0" t="s">
        <v>1657</v>
      </c>
      <c r="D79" s="110" t="n">
        <v>31000</v>
      </c>
      <c r="E79" s="131" t="n">
        <v>0.13</v>
      </c>
      <c r="F79" s="139" t="n">
        <v>5</v>
      </c>
      <c r="G79" s="131" t="n">
        <v>0</v>
      </c>
    </row>
    <row r="80" customFormat="false" ht="15" hidden="false" customHeight="false" outlineLevel="0" collapsed="false">
      <c r="A80" s="0" t="s">
        <v>1074</v>
      </c>
      <c r="B80" s="0" t="s">
        <v>1662</v>
      </c>
      <c r="C80" s="0" t="s">
        <v>1663</v>
      </c>
      <c r="D80" s="110" t="n">
        <v>60000</v>
      </c>
      <c r="E80" s="131" t="n">
        <v>0.22</v>
      </c>
      <c r="F80" s="139" t="n">
        <v>4</v>
      </c>
      <c r="G80" s="131" t="n">
        <v>0</v>
      </c>
    </row>
    <row r="81" customFormat="false" ht="15" hidden="false" customHeight="false" outlineLevel="0" collapsed="false">
      <c r="A81" s="0" t="s">
        <v>1075</v>
      </c>
      <c r="B81" s="0" t="s">
        <v>1664</v>
      </c>
      <c r="C81" s="0" t="s">
        <v>1663</v>
      </c>
      <c r="D81" s="110" t="n">
        <v>43000</v>
      </c>
      <c r="E81" s="131" t="n">
        <v>0.17</v>
      </c>
      <c r="F81" s="139" t="n">
        <v>3</v>
      </c>
      <c r="G81" s="131" t="n">
        <v>0</v>
      </c>
    </row>
    <row r="82" customFormat="false" ht="15" hidden="false" customHeight="false" outlineLevel="0" collapsed="false">
      <c r="A82" s="0" t="s">
        <v>1076</v>
      </c>
      <c r="B82" s="0" t="s">
        <v>1665</v>
      </c>
      <c r="C82" s="0" t="s">
        <v>1665</v>
      </c>
      <c r="D82" s="110" t="n">
        <v>27000</v>
      </c>
      <c r="E82" s="131" t="n">
        <v>0.11</v>
      </c>
      <c r="F82" s="139" t="n">
        <v>8</v>
      </c>
      <c r="G82" s="131" t="n">
        <v>0.25</v>
      </c>
    </row>
    <row r="83" customFormat="false" ht="15" hidden="false" customHeight="false" outlineLevel="0" collapsed="false">
      <c r="A83" s="0" t="s">
        <v>1077</v>
      </c>
      <c r="B83" s="0" t="s">
        <v>1666</v>
      </c>
      <c r="C83" s="0" t="s">
        <v>1666</v>
      </c>
      <c r="D83" s="110" t="n">
        <v>37000</v>
      </c>
      <c r="E83" s="131" t="n">
        <v>0.15</v>
      </c>
      <c r="F83" s="139" t="n">
        <v>5</v>
      </c>
      <c r="G83" s="131" t="n">
        <v>0</v>
      </c>
    </row>
    <row r="84" customFormat="false" ht="15" hidden="false" customHeight="false" outlineLevel="0" collapsed="false">
      <c r="A84" s="0" t="s">
        <v>1078</v>
      </c>
      <c r="B84" s="0" t="s">
        <v>1667</v>
      </c>
      <c r="C84" s="0" t="s">
        <v>1667</v>
      </c>
      <c r="D84" s="110" t="n">
        <v>42000</v>
      </c>
      <c r="E84" s="131" t="n">
        <v>0.17</v>
      </c>
      <c r="F84" s="139" t="n">
        <v>5</v>
      </c>
      <c r="G84" s="131" t="n">
        <v>0</v>
      </c>
    </row>
    <row r="85" customFormat="false" ht="15" hidden="false" customHeight="false" outlineLevel="0" collapsed="false">
      <c r="A85" s="0" t="s">
        <v>1079</v>
      </c>
      <c r="B85" s="0" t="s">
        <v>1668</v>
      </c>
      <c r="C85" s="0" t="s">
        <v>1669</v>
      </c>
      <c r="D85" s="110" t="n">
        <v>92000</v>
      </c>
      <c r="E85" s="131" t="n">
        <v>0.31</v>
      </c>
      <c r="F85" s="139" t="n">
        <v>1</v>
      </c>
      <c r="G85" s="131" t="n">
        <v>0</v>
      </c>
      <c r="H85" s="63" t="s">
        <v>1658</v>
      </c>
    </row>
    <row r="86" customFormat="false" ht="15" hidden="false" customHeight="false" outlineLevel="0" collapsed="false">
      <c r="A86" s="0" t="s">
        <v>1080</v>
      </c>
      <c r="B86" s="0" t="s">
        <v>1670</v>
      </c>
      <c r="C86" s="0" t="s">
        <v>1669</v>
      </c>
      <c r="D86" s="110" t="n">
        <v>45000</v>
      </c>
      <c r="E86" s="131" t="n">
        <v>0.18</v>
      </c>
      <c r="F86" s="139" t="n">
        <v>7</v>
      </c>
      <c r="G86" s="131" t="n">
        <v>0</v>
      </c>
    </row>
    <row r="87" customFormat="false" ht="15" hidden="false" customHeight="false" outlineLevel="0" collapsed="false">
      <c r="A87" s="0" t="s">
        <v>1081</v>
      </c>
      <c r="B87" s="0" t="s">
        <v>1671</v>
      </c>
      <c r="C87" s="0" t="s">
        <v>1669</v>
      </c>
      <c r="D87" s="110" t="n">
        <v>28000</v>
      </c>
      <c r="E87" s="131" t="n">
        <v>0.12</v>
      </c>
      <c r="F87" s="139" t="n">
        <v>5</v>
      </c>
      <c r="G87" s="131" t="n">
        <v>0.25</v>
      </c>
    </row>
    <row r="88" customFormat="false" ht="15" hidden="false" customHeight="false" outlineLevel="0" collapsed="false">
      <c r="A88" s="0" t="s">
        <v>1082</v>
      </c>
      <c r="B88" s="0" t="s">
        <v>1672</v>
      </c>
      <c r="C88" s="0" t="s">
        <v>1672</v>
      </c>
      <c r="D88" s="110" t="n">
        <v>46000</v>
      </c>
      <c r="E88" s="131" t="n">
        <v>0.18</v>
      </c>
      <c r="F88" s="139" t="n">
        <v>6</v>
      </c>
      <c r="G88" s="131" t="n">
        <v>0.125</v>
      </c>
    </row>
    <row r="89" customFormat="false" ht="15" hidden="false" customHeight="false" outlineLevel="0" collapsed="false">
      <c r="A89" s="0" t="s">
        <v>1083</v>
      </c>
      <c r="B89" s="0" t="s">
        <v>1673</v>
      </c>
      <c r="C89" s="0" t="s">
        <v>1674</v>
      </c>
      <c r="D89" s="110" t="n">
        <v>105000</v>
      </c>
      <c r="E89" s="131" t="n">
        <v>0.33</v>
      </c>
      <c r="F89" s="139" t="n">
        <v>2</v>
      </c>
      <c r="G89" s="131" t="n">
        <v>0</v>
      </c>
      <c r="H89" s="63" t="s">
        <v>1658</v>
      </c>
    </row>
    <row r="90" customFormat="false" ht="15" hidden="false" customHeight="false" outlineLevel="0" collapsed="false">
      <c r="A90" s="0" t="s">
        <v>1084</v>
      </c>
      <c r="B90" s="0" t="s">
        <v>1675</v>
      </c>
      <c r="C90" s="0" t="s">
        <v>1674</v>
      </c>
      <c r="D90" s="110" t="n">
        <v>37000</v>
      </c>
      <c r="E90" s="131" t="n">
        <v>0.15</v>
      </c>
      <c r="F90" s="139" t="n">
        <v>5</v>
      </c>
      <c r="G90" s="131" t="n">
        <v>0</v>
      </c>
    </row>
    <row r="91" customFormat="false" ht="15" hidden="false" customHeight="false" outlineLevel="0" collapsed="false">
      <c r="A91" s="63" t="s">
        <v>1676</v>
      </c>
    </row>
    <row r="92" customFormat="false" ht="15" hidden="false" customHeight="false" outlineLevel="0" collapsed="false">
      <c r="A92" s="28" t="s">
        <v>1677</v>
      </c>
      <c r="B92" s="63" t="s">
        <v>1565</v>
      </c>
      <c r="C92" s="131" t="n">
        <v>0.12</v>
      </c>
      <c r="D92" s="63" t="s">
        <v>1678</v>
      </c>
    </row>
    <row r="93" customFormat="false" ht="15" hidden="false" customHeight="false" outlineLevel="0" collapsed="false">
      <c r="A93" s="28" t="s">
        <v>1679</v>
      </c>
      <c r="B93" s="63" t="s">
        <v>1565</v>
      </c>
      <c r="C93" s="131" t="n">
        <v>0.1</v>
      </c>
    </row>
    <row r="94" customFormat="false" ht="15" hidden="false" customHeight="false" outlineLevel="0" collapsed="false">
      <c r="A94" s="28" t="s">
        <v>1680</v>
      </c>
      <c r="B94" s="63" t="s">
        <v>1565</v>
      </c>
      <c r="C94" s="131" t="n">
        <v>0.25</v>
      </c>
    </row>
    <row r="95" customFormat="false" ht="15" hidden="false" customHeight="false" outlineLevel="0" collapsed="false">
      <c r="A95" s="28" t="s">
        <v>1681</v>
      </c>
      <c r="B95" s="63" t="s">
        <v>1565</v>
      </c>
      <c r="C95" s="131" t="n">
        <v>0.15</v>
      </c>
    </row>
    <row r="96" customFormat="false" ht="15" hidden="false" customHeight="false" outlineLevel="0" collapsed="false">
      <c r="A96" s="28" t="s">
        <v>1682</v>
      </c>
      <c r="B96" s="63" t="s">
        <v>1565</v>
      </c>
      <c r="C96" s="131" t="n">
        <v>0.15</v>
      </c>
    </row>
    <row r="97" customFormat="false" ht="15" hidden="false" customHeight="false" outlineLevel="0" collapsed="false">
      <c r="A97" s="28" t="s">
        <v>1683</v>
      </c>
      <c r="B97" s="63" t="s">
        <v>1565</v>
      </c>
      <c r="C97" s="131" t="n">
        <v>0.25</v>
      </c>
    </row>
    <row r="98" customFormat="false" ht="15" hidden="false" customHeight="false" outlineLevel="0" collapsed="false">
      <c r="A98" s="28" t="s">
        <v>1684</v>
      </c>
      <c r="B98" s="63" t="s">
        <v>1565</v>
      </c>
      <c r="C98" s="131" t="n">
        <v>0.15</v>
      </c>
    </row>
    <row r="99" customFormat="false" ht="15" hidden="false" customHeight="false" outlineLevel="0" collapsed="false">
      <c r="A99" s="28" t="s">
        <v>1685</v>
      </c>
      <c r="B99" s="63" t="s">
        <v>1565</v>
      </c>
      <c r="C99" s="131" t="n">
        <v>0.08</v>
      </c>
    </row>
    <row r="100" customFormat="false" ht="15" hidden="false" customHeight="false" outlineLevel="0" collapsed="false">
      <c r="A100" s="28" t="s">
        <v>1686</v>
      </c>
      <c r="B100" s="63" t="s">
        <v>1687</v>
      </c>
      <c r="C100" s="139" t="n">
        <v>2</v>
      </c>
    </row>
    <row r="101" customFormat="false" ht="15" hidden="false" customHeight="false" outlineLevel="0" collapsed="false">
      <c r="A101" s="28" t="s">
        <v>1688</v>
      </c>
      <c r="B101" s="63" t="s">
        <v>1570</v>
      </c>
      <c r="C101" s="131" t="n">
        <v>0.32</v>
      </c>
      <c r="D101" s="63" t="s">
        <v>1689</v>
      </c>
    </row>
    <row r="102" customFormat="false" ht="15" hidden="false" customHeight="false" outlineLevel="0" collapsed="false">
      <c r="A102" s="28" t="s">
        <v>1690</v>
      </c>
      <c r="B102" s="63" t="s">
        <v>1687</v>
      </c>
      <c r="C102" s="139" t="n">
        <v>36</v>
      </c>
    </row>
    <row r="103" customFormat="false" ht="15" hidden="false" customHeight="false" outlineLevel="0" collapsed="false">
      <c r="A103" s="28" t="s">
        <v>1691</v>
      </c>
      <c r="B103" s="63" t="s">
        <v>1687</v>
      </c>
      <c r="C103" s="139" t="n">
        <v>48</v>
      </c>
      <c r="D103" s="63" t="s">
        <v>1692</v>
      </c>
    </row>
    <row r="104" customFormat="false" ht="15" hidden="false" customHeight="false" outlineLevel="0" collapsed="false">
      <c r="A104" s="28" t="s">
        <v>1693</v>
      </c>
      <c r="B104" s="63" t="s">
        <v>1565</v>
      </c>
      <c r="C104" s="131" t="n">
        <v>0.1</v>
      </c>
      <c r="D104" s="63" t="s">
        <v>1694</v>
      </c>
    </row>
    <row r="105" customFormat="false" ht="15" hidden="false" customHeight="false" outlineLevel="0" collapsed="false">
      <c r="A105" s="28" t="s">
        <v>1695</v>
      </c>
      <c r="B105" s="63" t="s">
        <v>1565</v>
      </c>
      <c r="C105" s="131" t="n">
        <v>0.05</v>
      </c>
    </row>
    <row r="106" customFormat="false" ht="15" hidden="false" customHeight="false" outlineLevel="0" collapsed="false">
      <c r="A106" s="28" t="s">
        <v>1696</v>
      </c>
      <c r="B106" s="63" t="s">
        <v>600</v>
      </c>
      <c r="C106" s="110" t="n">
        <v>1900</v>
      </c>
    </row>
    <row r="107" customFormat="false" ht="15" hidden="false" customHeight="false" outlineLevel="0" collapsed="false">
      <c r="A107" s="28" t="s">
        <v>1697</v>
      </c>
      <c r="B107" s="63" t="s">
        <v>600</v>
      </c>
      <c r="C107" s="110" t="n">
        <v>2800</v>
      </c>
    </row>
    <row r="108" customFormat="false" ht="15" hidden="false" customHeight="false" outlineLevel="0" collapsed="false">
      <c r="A108" s="28" t="s">
        <v>1698</v>
      </c>
      <c r="B108" s="63" t="s">
        <v>600</v>
      </c>
      <c r="C108" s="110" t="n">
        <v>4500</v>
      </c>
    </row>
    <row r="109" customFormat="false" ht="15" hidden="false" customHeight="false" outlineLevel="0" collapsed="false">
      <c r="A109" s="28" t="s">
        <v>1699</v>
      </c>
      <c r="B109" s="63" t="s">
        <v>600</v>
      </c>
      <c r="C109" s="110" t="n">
        <v>225</v>
      </c>
    </row>
    <row r="111" customFormat="false" ht="15" hidden="false" customHeight="false" outlineLevel="0" collapsed="false">
      <c r="A111" s="22" t="s">
        <v>1700</v>
      </c>
      <c r="B111" s="23"/>
      <c r="C111" s="23"/>
      <c r="D111" s="23"/>
      <c r="E111" s="23"/>
      <c r="F111" s="23"/>
      <c r="G111" s="23"/>
      <c r="H111" s="23"/>
    </row>
    <row r="112" customFormat="false" ht="15" hidden="false" customHeight="false" outlineLevel="0" collapsed="false">
      <c r="A112" s="28" t="s">
        <v>1701</v>
      </c>
      <c r="B112" s="63" t="s">
        <v>1565</v>
      </c>
      <c r="C112" s="137" t="n">
        <v>0.0404</v>
      </c>
      <c r="D112" s="63" t="s">
        <v>1702</v>
      </c>
    </row>
    <row r="113" customFormat="false" ht="15" hidden="false" customHeight="false" outlineLevel="0" collapsed="false">
      <c r="A113" s="28" t="s">
        <v>1703</v>
      </c>
      <c r="B113" s="63" t="s">
        <v>1565</v>
      </c>
      <c r="C113" s="137" t="n">
        <v>0.047</v>
      </c>
    </row>
    <row r="114" customFormat="false" ht="15" hidden="false" customHeight="false" outlineLevel="0" collapsed="false">
      <c r="A114" s="28" t="s">
        <v>1704</v>
      </c>
      <c r="B114" s="63" t="s">
        <v>1565</v>
      </c>
      <c r="C114" s="137" t="n">
        <v>0.0267</v>
      </c>
    </row>
    <row r="115" customFormat="false" ht="15" hidden="false" customHeight="false" outlineLevel="0" collapsed="false">
      <c r="A115" s="28" t="s">
        <v>1705</v>
      </c>
      <c r="B115" s="63" t="s">
        <v>1565</v>
      </c>
      <c r="C115" s="137" t="n">
        <v>0.031</v>
      </c>
    </row>
    <row r="116" customFormat="false" ht="15" hidden="false" customHeight="false" outlineLevel="0" collapsed="false">
      <c r="A116" s="28" t="s">
        <v>1706</v>
      </c>
      <c r="B116" s="63" t="s">
        <v>1565</v>
      </c>
      <c r="C116" s="137" t="n">
        <v>0.0181</v>
      </c>
    </row>
    <row r="117" customFormat="false" ht="15" hidden="false" customHeight="false" outlineLevel="0" collapsed="false">
      <c r="A117" s="28" t="s">
        <v>1707</v>
      </c>
      <c r="B117" s="63" t="s">
        <v>1565</v>
      </c>
      <c r="C117" s="137" t="n">
        <v>0.021</v>
      </c>
    </row>
    <row r="118" customFormat="false" ht="15" hidden="false" customHeight="false" outlineLevel="0" collapsed="false">
      <c r="A118" s="28" t="s">
        <v>1708</v>
      </c>
      <c r="B118" s="63" t="s">
        <v>1565</v>
      </c>
      <c r="C118" s="137" t="n">
        <v>0.0105</v>
      </c>
    </row>
    <row r="119" customFormat="false" ht="15" hidden="false" customHeight="false" outlineLevel="0" collapsed="false">
      <c r="A119" s="28" t="s">
        <v>1709</v>
      </c>
      <c r="B119" s="63" t="s">
        <v>1565</v>
      </c>
      <c r="C119" s="137" t="n">
        <v>0.0045</v>
      </c>
    </row>
    <row r="120" customFormat="false" ht="15" hidden="false" customHeight="false" outlineLevel="0" collapsed="false">
      <c r="A120" s="28" t="s">
        <v>1710</v>
      </c>
      <c r="B120" s="63" t="s">
        <v>1711</v>
      </c>
      <c r="C120" s="140" t="n">
        <v>30</v>
      </c>
      <c r="D120" s="63" t="s">
        <v>1712</v>
      </c>
    </row>
    <row r="121" customFormat="false" ht="15" hidden="false" customHeight="false" outlineLevel="0" collapsed="false">
      <c r="A121" s="28" t="s">
        <v>1713</v>
      </c>
      <c r="B121" s="63" t="s">
        <v>600</v>
      </c>
      <c r="C121" s="136" t="n">
        <v>207</v>
      </c>
      <c r="D121" s="63" t="s">
        <v>1714</v>
      </c>
    </row>
    <row r="122" customFormat="false" ht="15" hidden="false" customHeight="false" outlineLevel="0" collapsed="false">
      <c r="A122" s="28" t="s">
        <v>1715</v>
      </c>
      <c r="B122" s="63" t="s">
        <v>1565</v>
      </c>
      <c r="C122" s="131" t="n">
        <v>0.162</v>
      </c>
      <c r="D122" s="63" t="s">
        <v>1716</v>
      </c>
    </row>
    <row r="123" customFormat="false" ht="15" hidden="false" customHeight="false" outlineLevel="0" collapsed="false">
      <c r="A123" s="28" t="s">
        <v>1717</v>
      </c>
      <c r="B123" s="63" t="s">
        <v>1565</v>
      </c>
      <c r="C123" s="131" t="n">
        <v>0.09</v>
      </c>
    </row>
    <row r="124" customFormat="false" ht="15" hidden="false" customHeight="false" outlineLevel="0" collapsed="false">
      <c r="A124" s="28" t="s">
        <v>1718</v>
      </c>
      <c r="B124" s="63" t="s">
        <v>1565</v>
      </c>
      <c r="C124" s="131" t="n">
        <v>0.18</v>
      </c>
    </row>
    <row r="125" customFormat="false" ht="15" hidden="false" customHeight="false" outlineLevel="0" collapsed="false">
      <c r="A125" s="28" t="s">
        <v>1719</v>
      </c>
      <c r="B125" s="63" t="s">
        <v>1565</v>
      </c>
      <c r="C125" s="131" t="n">
        <v>0.1</v>
      </c>
    </row>
    <row r="126" customFormat="false" ht="15" hidden="false" customHeight="false" outlineLevel="0" collapsed="false">
      <c r="A126" s="28" t="s">
        <v>1720</v>
      </c>
      <c r="B126" s="63" t="s">
        <v>1565</v>
      </c>
      <c r="C126" s="131" t="n">
        <v>0.025</v>
      </c>
    </row>
    <row r="127" customFormat="false" ht="15" hidden="false" customHeight="false" outlineLevel="0" collapsed="false">
      <c r="A127" s="28" t="s">
        <v>1721</v>
      </c>
      <c r="B127" s="63" t="s">
        <v>1565</v>
      </c>
      <c r="C127" s="131" t="n">
        <v>0.02</v>
      </c>
    </row>
    <row r="128" customFormat="false" ht="15" hidden="false" customHeight="false" outlineLevel="0" collapsed="false">
      <c r="A128" s="28" t="s">
        <v>1722</v>
      </c>
      <c r="B128" s="63" t="s">
        <v>1565</v>
      </c>
      <c r="C128" s="131" t="n">
        <v>0.04</v>
      </c>
    </row>
    <row r="129" customFormat="false" ht="15" hidden="false" customHeight="false" outlineLevel="0" collapsed="false">
      <c r="A129" s="28" t="s">
        <v>1723</v>
      </c>
      <c r="B129" s="63" t="s">
        <v>1565</v>
      </c>
      <c r="C129" s="131" t="n">
        <v>0.05</v>
      </c>
    </row>
    <row r="130" customFormat="false" ht="15" hidden="false" customHeight="false" outlineLevel="0" collapsed="false">
      <c r="A130" s="28" t="s">
        <v>1724</v>
      </c>
      <c r="B130" s="63" t="s">
        <v>1565</v>
      </c>
      <c r="C130" s="137" t="n">
        <v>0.0055</v>
      </c>
    </row>
    <row r="131" customFormat="false" ht="15" hidden="false" customHeight="false" outlineLevel="0" collapsed="false">
      <c r="A131" s="28" t="s">
        <v>1725</v>
      </c>
      <c r="B131" s="63" t="s">
        <v>1711</v>
      </c>
      <c r="C131" s="140" t="n">
        <v>4.1</v>
      </c>
      <c r="D131" s="63" t="s">
        <v>1726</v>
      </c>
    </row>
    <row r="132" customFormat="false" ht="15" hidden="false" customHeight="false" outlineLevel="0" collapsed="false">
      <c r="A132" s="28" t="s">
        <v>1727</v>
      </c>
      <c r="B132" s="63" t="s">
        <v>600</v>
      </c>
      <c r="C132" s="136" t="n">
        <v>965</v>
      </c>
      <c r="D132" s="63" t="s">
        <v>1728</v>
      </c>
    </row>
    <row r="133" customFormat="false" ht="15" hidden="false" customHeight="false" outlineLevel="0" collapsed="false">
      <c r="A133" s="28" t="s">
        <v>1729</v>
      </c>
      <c r="B133" s="63" t="s">
        <v>600</v>
      </c>
      <c r="C133" s="110" t="n">
        <v>2500</v>
      </c>
      <c r="D133" s="63" t="s">
        <v>1730</v>
      </c>
    </row>
    <row r="134" customFormat="false" ht="15" hidden="false" customHeight="false" outlineLevel="0" collapsed="false">
      <c r="A134" s="28" t="s">
        <v>1731</v>
      </c>
      <c r="B134" s="63" t="s">
        <v>1565</v>
      </c>
      <c r="C134" s="131" t="n">
        <v>0.05</v>
      </c>
      <c r="D134" s="63" t="s">
        <v>1732</v>
      </c>
    </row>
    <row r="135" customFormat="false" ht="15" hidden="false" customHeight="false" outlineLevel="0" collapsed="false">
      <c r="A135" s="28" t="s">
        <v>1733</v>
      </c>
      <c r="B135" s="63" t="s">
        <v>1565</v>
      </c>
      <c r="C135" s="131" t="n">
        <v>0.03</v>
      </c>
    </row>
    <row r="136" customFormat="false" ht="15" hidden="false" customHeight="false" outlineLevel="0" collapsed="false">
      <c r="A136" s="22" t="s">
        <v>1734</v>
      </c>
      <c r="B136" s="23"/>
      <c r="C136" s="23"/>
      <c r="D136" s="23"/>
      <c r="E136" s="23"/>
      <c r="F136" s="23"/>
      <c r="G136" s="23"/>
      <c r="H136" s="23"/>
    </row>
    <row r="137" customFormat="false" ht="15" hidden="false" customHeight="false" outlineLevel="0" collapsed="false">
      <c r="A137" s="28" t="s">
        <v>1735</v>
      </c>
      <c r="B137" s="63" t="s">
        <v>1736</v>
      </c>
      <c r="C137" s="131" t="n">
        <v>0.95</v>
      </c>
    </row>
    <row r="138" customFormat="false" ht="15" hidden="false" customHeight="false" outlineLevel="0" collapsed="false">
      <c r="A138" s="28" t="s">
        <v>1737</v>
      </c>
      <c r="B138" s="63" t="s">
        <v>600</v>
      </c>
      <c r="C138" s="110" t="n">
        <v>7000</v>
      </c>
      <c r="D138" s="63" t="s">
        <v>1738</v>
      </c>
    </row>
    <row r="139" customFormat="false" ht="15" hidden="false" customHeight="false" outlineLevel="0" collapsed="false">
      <c r="A139" s="28" t="s">
        <v>1739</v>
      </c>
      <c r="B139" s="63" t="s">
        <v>600</v>
      </c>
      <c r="C139" s="110" t="n">
        <v>16000</v>
      </c>
    </row>
    <row r="140" customFormat="false" ht="15" hidden="false" customHeight="false" outlineLevel="0" collapsed="false">
      <c r="A140" s="28" t="s">
        <v>1740</v>
      </c>
      <c r="B140" s="63" t="s">
        <v>619</v>
      </c>
      <c r="C140" s="129" t="n">
        <v>46568</v>
      </c>
      <c r="D140" s="63" t="s">
        <v>1741</v>
      </c>
    </row>
    <row r="141" customFormat="false" ht="15" hidden="false" customHeight="false" outlineLevel="0" collapsed="false">
      <c r="A141" s="22" t="s">
        <v>1742</v>
      </c>
      <c r="B141" s="23"/>
      <c r="C141" s="23"/>
      <c r="D141" s="23"/>
      <c r="E141" s="23"/>
      <c r="F141" s="23"/>
      <c r="G141" s="23"/>
      <c r="H141" s="23"/>
    </row>
    <row r="142" customFormat="false" ht="15" hidden="false" customHeight="false" outlineLevel="0" collapsed="false">
      <c r="A142" s="28" t="s">
        <v>1743</v>
      </c>
      <c r="B142" s="63" t="s">
        <v>1643</v>
      </c>
      <c r="C142" s="139" t="n">
        <v>35</v>
      </c>
      <c r="D142" s="63" t="s">
        <v>1744</v>
      </c>
    </row>
    <row r="143" customFormat="false" ht="15" hidden="false" customHeight="false" outlineLevel="0" collapsed="false">
      <c r="A143" s="28" t="s">
        <v>1745</v>
      </c>
      <c r="B143" s="63" t="s">
        <v>1643</v>
      </c>
      <c r="C143" s="139" t="n">
        <v>50</v>
      </c>
      <c r="D143" s="63" t="s">
        <v>1746</v>
      </c>
    </row>
    <row r="144" customFormat="false" ht="15" hidden="false" customHeight="false" outlineLevel="0" collapsed="false">
      <c r="A144" s="28" t="s">
        <v>1747</v>
      </c>
      <c r="B144" s="63" t="s">
        <v>1565</v>
      </c>
      <c r="C144" s="137" t="n">
        <v>0.0255</v>
      </c>
      <c r="D144" s="63" t="s">
        <v>1748</v>
      </c>
    </row>
    <row r="145" customFormat="false" ht="15" hidden="false" customHeight="false" outlineLevel="0" collapsed="false">
      <c r="A145" s="28" t="s">
        <v>1749</v>
      </c>
      <c r="B145" s="63" t="s">
        <v>600</v>
      </c>
      <c r="C145" s="136" t="n">
        <v>0.25</v>
      </c>
    </row>
    <row r="146" customFormat="false" ht="15" hidden="false" customHeight="false" outlineLevel="0" collapsed="false">
      <c r="A146" s="28" t="s">
        <v>1750</v>
      </c>
      <c r="B146" s="63" t="s">
        <v>1565</v>
      </c>
      <c r="C146" s="137" t="n">
        <v>0.008</v>
      </c>
    </row>
    <row r="147" customFormat="false" ht="15" hidden="false" customHeight="false" outlineLevel="0" collapsed="false">
      <c r="A147" s="28" t="s">
        <v>1751</v>
      </c>
      <c r="B147" s="63" t="s">
        <v>600</v>
      </c>
      <c r="C147" s="136" t="n">
        <v>60663.54</v>
      </c>
      <c r="D147" s="63" t="s">
        <v>1752</v>
      </c>
    </row>
    <row r="148" customFormat="false" ht="15" hidden="false" customHeight="false" outlineLevel="0" collapsed="false">
      <c r="A148" s="22" t="s">
        <v>1753</v>
      </c>
      <c r="B148" s="23"/>
      <c r="C148" s="23"/>
      <c r="D148" s="23"/>
      <c r="E148" s="23"/>
      <c r="F148" s="23"/>
      <c r="G148" s="23"/>
      <c r="H148" s="23"/>
    </row>
    <row r="149" customFormat="false" ht="15" hidden="false" customHeight="false" outlineLevel="0" collapsed="false">
      <c r="A149" s="28" t="s">
        <v>1754</v>
      </c>
      <c r="B149" s="63" t="s">
        <v>600</v>
      </c>
      <c r="C149" s="110" t="n">
        <v>11000</v>
      </c>
      <c r="D149" s="63" t="s">
        <v>1755</v>
      </c>
    </row>
    <row r="150" customFormat="false" ht="15" hidden="false" customHeight="false" outlineLevel="0" collapsed="false">
      <c r="A150" s="28" t="s">
        <v>1756</v>
      </c>
      <c r="B150" s="63" t="s">
        <v>1565</v>
      </c>
      <c r="C150" s="137" t="n">
        <v>0.032</v>
      </c>
    </row>
    <row r="151" customFormat="false" ht="15" hidden="false" customHeight="false" outlineLevel="0" collapsed="false">
      <c r="A151" s="28" t="s">
        <v>1757</v>
      </c>
      <c r="B151" s="63" t="s">
        <v>1565</v>
      </c>
      <c r="C151" s="137" t="n">
        <v>0.016</v>
      </c>
      <c r="D151" s="63" t="s">
        <v>1758</v>
      </c>
    </row>
    <row r="152" customFormat="false" ht="15" hidden="false" customHeight="false" outlineLevel="0" collapsed="false">
      <c r="A152" s="28" t="s">
        <v>1759</v>
      </c>
      <c r="B152" s="63" t="s">
        <v>600</v>
      </c>
      <c r="C152" s="110" t="n">
        <v>66000</v>
      </c>
      <c r="D152" s="63" t="s">
        <v>1760</v>
      </c>
    </row>
    <row r="153" customFormat="false" ht="15" hidden="false" customHeight="false" outlineLevel="0" collapsed="false">
      <c r="A153" s="28" t="s">
        <v>1761</v>
      </c>
      <c r="B153" s="63" t="s">
        <v>600</v>
      </c>
      <c r="C153" s="110" t="n">
        <v>24000</v>
      </c>
    </row>
    <row r="154" customFormat="false" ht="15" hidden="false" customHeight="false" outlineLevel="0" collapsed="false">
      <c r="A154" s="28" t="s">
        <v>1762</v>
      </c>
      <c r="B154" s="63" t="s">
        <v>600</v>
      </c>
      <c r="C154" s="110" t="n">
        <v>15500</v>
      </c>
      <c r="D154" s="63" t="s">
        <v>1763</v>
      </c>
    </row>
    <row r="155" customFormat="false" ht="15" hidden="false" customHeight="false" outlineLevel="0" collapsed="false">
      <c r="A155" s="28" t="s">
        <v>1764</v>
      </c>
      <c r="B155" s="63" t="s">
        <v>600</v>
      </c>
      <c r="C155" s="110" t="n">
        <v>11500</v>
      </c>
      <c r="D155" s="63" t="s">
        <v>1765</v>
      </c>
    </row>
    <row r="156" customFormat="false" ht="15" hidden="false" customHeight="false" outlineLevel="0" collapsed="false">
      <c r="A156" s="28" t="s">
        <v>1766</v>
      </c>
      <c r="B156" s="63" t="s">
        <v>600</v>
      </c>
      <c r="C156" s="110" t="n">
        <v>3200</v>
      </c>
      <c r="D156" s="63" t="s">
        <v>1767</v>
      </c>
    </row>
    <row r="157" customFormat="false" ht="15" hidden="false" customHeight="false" outlineLevel="0" collapsed="false">
      <c r="A157" s="28" t="s">
        <v>1768</v>
      </c>
      <c r="B157" s="63" t="s">
        <v>600</v>
      </c>
      <c r="C157" s="110" t="n">
        <v>10500</v>
      </c>
      <c r="D157" s="63" t="s">
        <v>1769</v>
      </c>
    </row>
    <row r="158" customFormat="false" ht="15" hidden="false" customHeight="false" outlineLevel="0" collapsed="false">
      <c r="A158" s="28" t="s">
        <v>1770</v>
      </c>
      <c r="B158" s="63" t="s">
        <v>1565</v>
      </c>
      <c r="C158" s="131" t="n">
        <v>0.03</v>
      </c>
    </row>
    <row r="159" customFormat="false" ht="15" hidden="false" customHeight="false" outlineLevel="0" collapsed="false">
      <c r="A159" s="22" t="s">
        <v>1771</v>
      </c>
      <c r="B159" s="23"/>
      <c r="C159" s="23"/>
      <c r="D159" s="23"/>
      <c r="E159" s="23"/>
      <c r="F159" s="23"/>
      <c r="G159" s="23"/>
      <c r="H159" s="23"/>
    </row>
    <row r="160" customFormat="false" ht="15" hidden="false" customHeight="false" outlineLevel="0" collapsed="false">
      <c r="A160" s="28" t="s">
        <v>1772</v>
      </c>
      <c r="B160" s="63" t="s">
        <v>1565</v>
      </c>
      <c r="C160" s="137" t="n">
        <v>0.105</v>
      </c>
      <c r="D160" s="63" t="s">
        <v>1773</v>
      </c>
    </row>
    <row r="161" customFormat="false" ht="15" hidden="false" customHeight="false" outlineLevel="0" collapsed="false">
      <c r="A161" s="28" t="s">
        <v>1774</v>
      </c>
      <c r="B161" s="63" t="s">
        <v>600</v>
      </c>
      <c r="C161" s="136" t="n">
        <v>55555.56</v>
      </c>
    </row>
    <row r="162" customFormat="false" ht="15" hidden="false" customHeight="false" outlineLevel="0" collapsed="false">
      <c r="A162" s="28" t="s">
        <v>1775</v>
      </c>
      <c r="B162" s="63" t="s">
        <v>619</v>
      </c>
      <c r="C162" s="129" t="n">
        <v>46265</v>
      </c>
    </row>
    <row r="164" customFormat="false" ht="15" hidden="false" customHeight="false" outlineLevel="0" collapsed="false">
      <c r="A164" s="22" t="s">
        <v>1776</v>
      </c>
      <c r="B164" s="23"/>
      <c r="C164" s="23"/>
      <c r="D164" s="23"/>
      <c r="E164" s="23"/>
      <c r="F164" s="23"/>
      <c r="G164" s="23"/>
      <c r="H164" s="23"/>
    </row>
    <row r="165" customFormat="false" ht="15" hidden="false" customHeight="false" outlineLevel="0" collapsed="false">
      <c r="A165" s="26" t="s">
        <v>1777</v>
      </c>
      <c r="B165" s="27" t="s">
        <v>593</v>
      </c>
      <c r="C165" s="27" t="s">
        <v>594</v>
      </c>
      <c r="D165" s="27" t="s">
        <v>595</v>
      </c>
      <c r="E165" s="27" t="s">
        <v>596</v>
      </c>
      <c r="F165" s="27" t="s">
        <v>1778</v>
      </c>
      <c r="G165" s="27" t="s">
        <v>519</v>
      </c>
      <c r="H165" s="27" t="s">
        <v>1655</v>
      </c>
    </row>
    <row r="166" customFormat="false" ht="15" hidden="false" customHeight="false" outlineLevel="0" collapsed="false">
      <c r="A166" s="28" t="s">
        <v>1779</v>
      </c>
      <c r="B166" s="63" t="s">
        <v>613</v>
      </c>
      <c r="C166" s="141" t="n">
        <v>1</v>
      </c>
      <c r="D166" s="141" t="n">
        <v>0.7</v>
      </c>
      <c r="E166" s="141" t="n">
        <v>1.15</v>
      </c>
      <c r="F166" s="142" t="n">
        <f aca="false">CHOOSE(Assumptions!$C$11,C166,D166,E166)</f>
        <v>1</v>
      </c>
      <c r="G166" s="99" t="n">
        <f aca="false">AVERAGEIFS(New_Business!$E$9:$AB$9,Assumptions!$E$190:$AB$190,"A")/Assumptions!$C$120</f>
        <v>0.991666666666667</v>
      </c>
    </row>
    <row r="167" customFormat="false" ht="15" hidden="false" customHeight="false" outlineLevel="0" collapsed="false">
      <c r="A167" s="28" t="s">
        <v>1780</v>
      </c>
      <c r="B167" s="63" t="s">
        <v>613</v>
      </c>
      <c r="C167" s="141" t="n">
        <v>1</v>
      </c>
      <c r="D167" s="141" t="n">
        <v>0.65</v>
      </c>
      <c r="E167" s="141" t="n">
        <v>1.15</v>
      </c>
      <c r="F167" s="142" t="n">
        <f aca="false">CHOOSE(Assumptions!$C$11,C167,D167,E167)</f>
        <v>1</v>
      </c>
      <c r="G167" s="99" t="n">
        <f aca="false">AVERAGEIFS(New_Business!$E$13:$AB$13,Assumptions!$E$190:$AB$190,"A")/Assumptions!$C$131</f>
        <v>1.25</v>
      </c>
    </row>
    <row r="168" customFormat="false" ht="15" hidden="false" customHeight="false" outlineLevel="0" collapsed="false">
      <c r="A168" s="28" t="s">
        <v>1781</v>
      </c>
      <c r="B168" s="63" t="s">
        <v>1687</v>
      </c>
      <c r="C168" s="139" t="n">
        <v>0</v>
      </c>
      <c r="D168" s="139" t="n">
        <v>2</v>
      </c>
      <c r="E168" s="139" t="n">
        <v>0</v>
      </c>
      <c r="F168" s="143" t="n">
        <f aca="false">CHOOSE(Assumptions!$C$11,C168,D168,E168)</f>
        <v>0</v>
      </c>
      <c r="H168" s="63" t="s">
        <v>1782</v>
      </c>
    </row>
    <row r="169" customFormat="false" ht="15" hidden="false" customHeight="false" outlineLevel="0" collapsed="false">
      <c r="A169" s="28" t="s">
        <v>1783</v>
      </c>
      <c r="B169" s="63" t="s">
        <v>613</v>
      </c>
      <c r="C169" s="141" t="n">
        <v>1</v>
      </c>
      <c r="D169" s="141" t="n">
        <v>1.3</v>
      </c>
      <c r="E169" s="141" t="n">
        <v>0.85</v>
      </c>
      <c r="F169" s="142" t="n">
        <f aca="false">CHOOSE(Assumptions!$C$11,C169,D169,E169)</f>
        <v>1</v>
      </c>
    </row>
    <row r="170" customFormat="false" ht="15" hidden="false" customHeight="false" outlineLevel="0" collapsed="false">
      <c r="A170" s="28" t="s">
        <v>1784</v>
      </c>
      <c r="B170" s="63" t="s">
        <v>613</v>
      </c>
      <c r="C170" s="141" t="n">
        <v>1</v>
      </c>
      <c r="D170" s="141" t="n">
        <v>1.35</v>
      </c>
      <c r="E170" s="141" t="n">
        <v>0.85</v>
      </c>
      <c r="F170" s="142" t="n">
        <f aca="false">CHOOSE(Assumptions!$C$11,C170,D170,E170)</f>
        <v>1</v>
      </c>
    </row>
    <row r="171" customFormat="false" ht="15" hidden="false" customHeight="false" outlineLevel="0" collapsed="false">
      <c r="A171" s="28" t="s">
        <v>1785</v>
      </c>
      <c r="B171" s="63" t="s">
        <v>613</v>
      </c>
      <c r="C171" s="141" t="n">
        <v>1</v>
      </c>
      <c r="D171" s="141" t="n">
        <v>0.7</v>
      </c>
      <c r="E171" s="141" t="n">
        <v>1.15</v>
      </c>
      <c r="F171" s="142" t="n">
        <f aca="false">CHOOSE(Assumptions!$C$11,C171,D171,E171)</f>
        <v>1</v>
      </c>
    </row>
    <row r="172" customFormat="false" ht="15" hidden="false" customHeight="false" outlineLevel="0" collapsed="false">
      <c r="A172" s="28" t="s">
        <v>1786</v>
      </c>
      <c r="B172" s="63"/>
      <c r="C172" s="131" t="n">
        <v>0.05</v>
      </c>
      <c r="D172" s="131" t="n">
        <v>0</v>
      </c>
      <c r="E172" s="131" t="n">
        <v>0.06</v>
      </c>
      <c r="F172" s="66" t="n">
        <f aca="false">CHOOSE(Assumptions!$C$11,C172,D172,E172)</f>
        <v>0.05</v>
      </c>
    </row>
    <row r="173" customFormat="false" ht="15" hidden="false" customHeight="false" outlineLevel="0" collapsed="false">
      <c r="A173" s="28" t="s">
        <v>1787</v>
      </c>
      <c r="B173" s="63"/>
      <c r="C173" s="131" t="n">
        <v>0.03</v>
      </c>
      <c r="D173" s="131" t="n">
        <v>0</v>
      </c>
      <c r="E173" s="131" t="n">
        <v>0.04</v>
      </c>
      <c r="F173" s="66" t="n">
        <f aca="false">CHOOSE(Assumptions!$C$11,C173,D173,E173)</f>
        <v>0.03</v>
      </c>
    </row>
    <row r="174" customFormat="false" ht="15" hidden="false" customHeight="false" outlineLevel="0" collapsed="false">
      <c r="A174" s="28" t="s">
        <v>1788</v>
      </c>
      <c r="B174" s="63" t="s">
        <v>1789</v>
      </c>
      <c r="C174" s="141" t="n">
        <v>0.5</v>
      </c>
      <c r="D174" s="141" t="n">
        <v>0.2</v>
      </c>
      <c r="E174" s="141" t="n">
        <v>0.7</v>
      </c>
      <c r="F174" s="142" t="n">
        <f aca="false">CHOOSE(Assumptions!$C$11,C174,D174,E174)</f>
        <v>0.5</v>
      </c>
    </row>
    <row r="175" customFormat="false" ht="15" hidden="false" customHeight="false" outlineLevel="0" collapsed="false">
      <c r="A175" s="28" t="s">
        <v>1790</v>
      </c>
      <c r="B175" s="63"/>
      <c r="C175" s="131" t="n">
        <v>0.035</v>
      </c>
      <c r="D175" s="131" t="n">
        <v>0.02</v>
      </c>
      <c r="E175" s="131" t="n">
        <v>0.04</v>
      </c>
      <c r="F175" s="66" t="n">
        <f aca="false">CHOOSE(Assumptions!$C$11,C175,D175,E175)</f>
        <v>0.035</v>
      </c>
      <c r="H175" s="63" t="s">
        <v>1791</v>
      </c>
    </row>
    <row r="176" customFormat="false" ht="15" hidden="false" customHeight="false" outlineLevel="0" collapsed="false">
      <c r="A176" s="28" t="s">
        <v>1792</v>
      </c>
      <c r="B176" s="63" t="s">
        <v>1570</v>
      </c>
      <c r="C176" s="131" t="n">
        <v>1</v>
      </c>
      <c r="D176" s="131" t="n">
        <v>0.5</v>
      </c>
      <c r="E176" s="131" t="n">
        <v>1</v>
      </c>
      <c r="F176" s="66" t="n">
        <f aca="false">CHOOSE(Assumptions!$C$11,C176,D176,E176)</f>
        <v>1</v>
      </c>
      <c r="H176" s="63" t="s">
        <v>1793</v>
      </c>
    </row>
    <row r="177" customFormat="false" ht="15" hidden="false" customHeight="false" outlineLevel="0" collapsed="false">
      <c r="A177" s="28" t="s">
        <v>1794</v>
      </c>
      <c r="B177" s="63" t="s">
        <v>1570</v>
      </c>
      <c r="C177" s="131" t="n">
        <v>1</v>
      </c>
      <c r="D177" s="131" t="n">
        <v>0.5</v>
      </c>
      <c r="E177" s="131" t="n">
        <v>1</v>
      </c>
      <c r="F177" s="66" t="n">
        <f aca="false">CHOOSE(Assumptions!$C$11,C177,D177,E177)</f>
        <v>1</v>
      </c>
    </row>
    <row r="178" customFormat="false" ht="15" hidden="false" customHeight="false" outlineLevel="0" collapsed="false">
      <c r="A178" s="28" t="s">
        <v>1795</v>
      </c>
      <c r="B178" s="63" t="s">
        <v>613</v>
      </c>
      <c r="C178" s="141" t="n">
        <v>1</v>
      </c>
      <c r="D178" s="141" t="n">
        <v>0.7</v>
      </c>
      <c r="E178" s="141" t="n">
        <v>1</v>
      </c>
      <c r="F178" s="142" t="n">
        <f aca="false">CHOOSE(Assumptions!$C$11,C178,D178,E178)</f>
        <v>1</v>
      </c>
      <c r="H178" s="63" t="s">
        <v>1796</v>
      </c>
    </row>
    <row r="179" customFormat="false" ht="15" hidden="false" customHeight="false" outlineLevel="0" collapsed="false">
      <c r="A179" s="28" t="s">
        <v>1797</v>
      </c>
      <c r="B179" s="63" t="s">
        <v>1798</v>
      </c>
      <c r="C179" s="140" t="n">
        <v>0</v>
      </c>
      <c r="D179" s="140" t="n">
        <v>8</v>
      </c>
      <c r="E179" s="140" t="n">
        <v>0</v>
      </c>
      <c r="F179" s="68" t="n">
        <f aca="false">CHOOSE(Assumptions!$C$11,C179,D179,E179)</f>
        <v>0</v>
      </c>
      <c r="H179" s="63" t="s">
        <v>1799</v>
      </c>
    </row>
    <row r="180" customFormat="false" ht="15" hidden="false" customHeight="false" outlineLevel="0" collapsed="false">
      <c r="A180" s="28" t="s">
        <v>1800</v>
      </c>
      <c r="B180" s="63" t="s">
        <v>619</v>
      </c>
      <c r="C180" s="129" t="n">
        <v>46507</v>
      </c>
      <c r="D180" s="129" t="n">
        <v>46507</v>
      </c>
      <c r="E180" s="129" t="n">
        <v>46507</v>
      </c>
      <c r="F180" s="144" t="n">
        <f aca="false">CHOOSE(Assumptions!$C$11,C180,D180,E180)</f>
        <v>46507</v>
      </c>
    </row>
    <row r="181" customFormat="false" ht="15" hidden="false" customHeight="false" outlineLevel="0" collapsed="false">
      <c r="A181" s="28" t="s">
        <v>1801</v>
      </c>
      <c r="B181" s="63" t="s">
        <v>613</v>
      </c>
      <c r="C181" s="141" t="n">
        <v>1</v>
      </c>
      <c r="D181" s="141" t="n">
        <v>0.8</v>
      </c>
      <c r="E181" s="141" t="n">
        <v>1.1</v>
      </c>
      <c r="F181" s="142" t="n">
        <f aca="false">CHOOSE(Assumptions!$C$11,C181,D181,E181)</f>
        <v>1</v>
      </c>
    </row>
    <row r="182" customFormat="false" ht="15" hidden="false" customHeight="false" outlineLevel="0" collapsed="false">
      <c r="A182" s="28" t="s">
        <v>1802</v>
      </c>
      <c r="B182" s="63" t="s">
        <v>1643</v>
      </c>
      <c r="C182" s="139" t="n">
        <v>0</v>
      </c>
      <c r="D182" s="139" t="n">
        <v>15</v>
      </c>
      <c r="E182" s="139" t="n">
        <v>0</v>
      </c>
      <c r="F182" s="143" t="n">
        <f aca="false">CHOOSE(Assumptions!$C$11,C182,D182,E182)</f>
        <v>0</v>
      </c>
      <c r="G182" s="69" t="n">
        <f aca="false">INDEX(Receivables!$E$33:$AB$33,Assumptions!$C$10)</f>
        <v>35.2975170124793</v>
      </c>
    </row>
    <row r="183" customFormat="false" ht="15" hidden="false" customHeight="false" outlineLevel="0" collapsed="false">
      <c r="A183" s="28" t="s">
        <v>1803</v>
      </c>
      <c r="B183" s="63"/>
      <c r="C183" s="137" t="n">
        <v>0.005</v>
      </c>
      <c r="D183" s="137" t="n">
        <v>0.015</v>
      </c>
      <c r="E183" s="137" t="n">
        <v>0.004</v>
      </c>
      <c r="F183" s="70" t="n">
        <f aca="false">CHOOSE(Assumptions!$C$11,C183,D183,E183)</f>
        <v>0.005</v>
      </c>
      <c r="G183" s="71" t="n">
        <f aca="false">Assumptions!$C$146</f>
        <v>0.008</v>
      </c>
    </row>
    <row r="184" customFormat="false" ht="15" hidden="false" customHeight="false" outlineLevel="0" collapsed="false">
      <c r="A184" s="28" t="s">
        <v>1804</v>
      </c>
      <c r="B184" s="63" t="s">
        <v>1570</v>
      </c>
      <c r="C184" s="131" t="n">
        <v>1</v>
      </c>
      <c r="D184" s="131" t="n">
        <v>0.5</v>
      </c>
      <c r="E184" s="131" t="n">
        <v>1</v>
      </c>
      <c r="F184" s="66" t="n">
        <f aca="false">CHOOSE(Assumptions!$C$11,C184,D184,E184)</f>
        <v>1</v>
      </c>
      <c r="H184" s="63" t="s">
        <v>1805</v>
      </c>
    </row>
    <row r="185" customFormat="false" ht="15" hidden="false" customHeight="false" outlineLevel="0" collapsed="false">
      <c r="A185" s="28" t="s">
        <v>1806</v>
      </c>
      <c r="B185" s="63" t="s">
        <v>619</v>
      </c>
      <c r="C185" s="129" t="n">
        <v>46326</v>
      </c>
      <c r="D185" s="129" t="n">
        <v>46387</v>
      </c>
      <c r="E185" s="129" t="n">
        <v>46326</v>
      </c>
      <c r="F185" s="144" t="n">
        <f aca="false">CHOOSE(Assumptions!$C$11,C185,D185,E185)</f>
        <v>46326</v>
      </c>
    </row>
    <row r="187" customFormat="false" ht="15" hidden="false" customHeight="false" outlineLevel="0" collapsed="false">
      <c r="A187" s="22" t="s">
        <v>1807</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row>
    <row r="188" customFormat="false" ht="15" hidden="false" customHeight="false" outlineLevel="0" collapsed="false">
      <c r="A188" s="28" t="s">
        <v>1808</v>
      </c>
      <c r="E188" s="145" t="n">
        <f aca="false">Assumptions!$C$8</f>
        <v>46053</v>
      </c>
      <c r="F188" s="145" t="n">
        <f aca="false">EOMONTH(E188,1)</f>
        <v>46081</v>
      </c>
      <c r="G188" s="145" t="n">
        <f aca="false">EOMONTH(F188,1)</f>
        <v>46112</v>
      </c>
      <c r="H188" s="145" t="n">
        <f aca="false">EOMONTH(G188,1)</f>
        <v>46142</v>
      </c>
      <c r="I188" s="145" t="n">
        <f aca="false">EOMONTH(H188,1)</f>
        <v>46173</v>
      </c>
      <c r="J188" s="145" t="n">
        <f aca="false">EOMONTH(I188,1)</f>
        <v>46203</v>
      </c>
      <c r="K188" s="145" t="n">
        <f aca="false">EOMONTH(J188,1)</f>
        <v>46234</v>
      </c>
      <c r="L188" s="145" t="n">
        <f aca="false">EOMONTH(K188,1)</f>
        <v>46265</v>
      </c>
      <c r="M188" s="145" t="n">
        <f aca="false">EOMONTH(L188,1)</f>
        <v>46295</v>
      </c>
      <c r="N188" s="145" t="n">
        <f aca="false">EOMONTH(M188,1)</f>
        <v>46326</v>
      </c>
      <c r="O188" s="145" t="n">
        <f aca="false">EOMONTH(N188,1)</f>
        <v>46356</v>
      </c>
      <c r="P188" s="145" t="n">
        <f aca="false">EOMONTH(O188,1)</f>
        <v>46387</v>
      </c>
      <c r="Q188" s="145" t="n">
        <f aca="false">EOMONTH(P188,1)</f>
        <v>46418</v>
      </c>
      <c r="R188" s="145" t="n">
        <f aca="false">EOMONTH(Q188,1)</f>
        <v>46446</v>
      </c>
      <c r="S188" s="145" t="n">
        <f aca="false">EOMONTH(R188,1)</f>
        <v>46477</v>
      </c>
      <c r="T188" s="145" t="n">
        <f aca="false">EOMONTH(S188,1)</f>
        <v>46507</v>
      </c>
      <c r="U188" s="145" t="n">
        <f aca="false">EOMONTH(T188,1)</f>
        <v>46538</v>
      </c>
      <c r="V188" s="145" t="n">
        <f aca="false">EOMONTH(U188,1)</f>
        <v>46568</v>
      </c>
      <c r="W188" s="145" t="n">
        <f aca="false">EOMONTH(V188,1)</f>
        <v>46599</v>
      </c>
      <c r="X188" s="145" t="n">
        <f aca="false">EOMONTH(W188,1)</f>
        <v>46630</v>
      </c>
      <c r="Y188" s="145" t="n">
        <f aca="false">EOMONTH(X188,1)</f>
        <v>46660</v>
      </c>
      <c r="Z188" s="145" t="n">
        <f aca="false">EOMONTH(Y188,1)</f>
        <v>46691</v>
      </c>
      <c r="AA188" s="145" t="n">
        <f aca="false">EOMONTH(Z188,1)</f>
        <v>46721</v>
      </c>
      <c r="AB188" s="145" t="n">
        <f aca="false">EOMONTH(AA188,1)</f>
        <v>46752</v>
      </c>
    </row>
    <row r="189" customFormat="false" ht="15" hidden="false" customHeight="false" outlineLevel="0" collapsed="false">
      <c r="A189" s="28" t="s">
        <v>332</v>
      </c>
      <c r="E189" s="146" t="n">
        <v>1</v>
      </c>
      <c r="F189" s="146" t="n">
        <f aca="false">E189+1</f>
        <v>2</v>
      </c>
      <c r="G189" s="146" t="n">
        <f aca="false">F189+1</f>
        <v>3</v>
      </c>
      <c r="H189" s="146" t="n">
        <f aca="false">G189+1</f>
        <v>4</v>
      </c>
      <c r="I189" s="146" t="n">
        <f aca="false">H189+1</f>
        <v>5</v>
      </c>
      <c r="J189" s="146" t="n">
        <f aca="false">I189+1</f>
        <v>6</v>
      </c>
      <c r="K189" s="146" t="n">
        <f aca="false">J189+1</f>
        <v>7</v>
      </c>
      <c r="L189" s="146" t="n">
        <f aca="false">K189+1</f>
        <v>8</v>
      </c>
      <c r="M189" s="146" t="n">
        <f aca="false">L189+1</f>
        <v>9</v>
      </c>
      <c r="N189" s="146" t="n">
        <f aca="false">M189+1</f>
        <v>10</v>
      </c>
      <c r="O189" s="146" t="n">
        <f aca="false">N189+1</f>
        <v>11</v>
      </c>
      <c r="P189" s="146" t="n">
        <f aca="false">O189+1</f>
        <v>12</v>
      </c>
      <c r="Q189" s="146" t="n">
        <f aca="false">P189+1</f>
        <v>13</v>
      </c>
      <c r="R189" s="146" t="n">
        <f aca="false">Q189+1</f>
        <v>14</v>
      </c>
      <c r="S189" s="146" t="n">
        <f aca="false">R189+1</f>
        <v>15</v>
      </c>
      <c r="T189" s="146" t="n">
        <f aca="false">S189+1</f>
        <v>16</v>
      </c>
      <c r="U189" s="146" t="n">
        <f aca="false">T189+1</f>
        <v>17</v>
      </c>
      <c r="V189" s="146" t="n">
        <f aca="false">U189+1</f>
        <v>18</v>
      </c>
      <c r="W189" s="146" t="n">
        <f aca="false">V189+1</f>
        <v>19</v>
      </c>
      <c r="X189" s="146" t="n">
        <f aca="false">W189+1</f>
        <v>20</v>
      </c>
      <c r="Y189" s="146" t="n">
        <f aca="false">X189+1</f>
        <v>21</v>
      </c>
      <c r="Z189" s="146" t="n">
        <f aca="false">Y189+1</f>
        <v>22</v>
      </c>
      <c r="AA189" s="146" t="n">
        <f aca="false">Z189+1</f>
        <v>23</v>
      </c>
      <c r="AB189" s="146" t="n">
        <f aca="false">AA189+1</f>
        <v>24</v>
      </c>
    </row>
    <row r="190" customFormat="false" ht="15" hidden="false" customHeight="false" outlineLevel="0" collapsed="false">
      <c r="A190" s="28" t="s">
        <v>329</v>
      </c>
      <c r="E190" s="147" t="str">
        <f aca="false">IF(Assumptions!E$188&lt;=Assumptions!$C$9,"A","F")</f>
        <v>A</v>
      </c>
      <c r="F190" s="147" t="str">
        <f aca="false">IF(Assumptions!F$188&lt;=Assumptions!$C$9,"A","F")</f>
        <v>A</v>
      </c>
      <c r="G190" s="147" t="str">
        <f aca="false">IF(Assumptions!G$188&lt;=Assumptions!$C$9,"A","F")</f>
        <v>A</v>
      </c>
      <c r="H190" s="147" t="str">
        <f aca="false">IF(Assumptions!H$188&lt;=Assumptions!$C$9,"A","F")</f>
        <v>A</v>
      </c>
      <c r="I190" s="147" t="str">
        <f aca="false">IF(Assumptions!I$188&lt;=Assumptions!$C$9,"A","F")</f>
        <v>A</v>
      </c>
      <c r="J190" s="147" t="str">
        <f aca="false">IF(Assumptions!J$188&lt;=Assumptions!$C$9,"A","F")</f>
        <v>A</v>
      </c>
      <c r="K190" s="147" t="str">
        <f aca="false">IF(Assumptions!K$188&lt;=Assumptions!$C$9,"A","F")</f>
        <v>A</v>
      </c>
      <c r="L190" s="147" t="str">
        <f aca="false">IF(Assumptions!L$188&lt;=Assumptions!$C$9,"A","F")</f>
        <v>A</v>
      </c>
      <c r="M190" s="147" t="str">
        <f aca="false">IF(Assumptions!M$188&lt;=Assumptions!$C$9,"A","F")</f>
        <v>F</v>
      </c>
      <c r="N190" s="147" t="str">
        <f aca="false">IF(Assumptions!N$188&lt;=Assumptions!$C$9,"A","F")</f>
        <v>F</v>
      </c>
      <c r="O190" s="147" t="str">
        <f aca="false">IF(Assumptions!O$188&lt;=Assumptions!$C$9,"A","F")</f>
        <v>F</v>
      </c>
      <c r="P190" s="147" t="str">
        <f aca="false">IF(Assumptions!P$188&lt;=Assumptions!$C$9,"A","F")</f>
        <v>F</v>
      </c>
      <c r="Q190" s="147" t="str">
        <f aca="false">IF(Assumptions!Q$188&lt;=Assumptions!$C$9,"A","F")</f>
        <v>F</v>
      </c>
      <c r="R190" s="147" t="str">
        <f aca="false">IF(Assumptions!R$188&lt;=Assumptions!$C$9,"A","F")</f>
        <v>F</v>
      </c>
      <c r="S190" s="147" t="str">
        <f aca="false">IF(Assumptions!S$188&lt;=Assumptions!$C$9,"A","F")</f>
        <v>F</v>
      </c>
      <c r="T190" s="147" t="str">
        <f aca="false">IF(Assumptions!T$188&lt;=Assumptions!$C$9,"A","F")</f>
        <v>F</v>
      </c>
      <c r="U190" s="147" t="str">
        <f aca="false">IF(Assumptions!U$188&lt;=Assumptions!$C$9,"A","F")</f>
        <v>F</v>
      </c>
      <c r="V190" s="147" t="str">
        <f aca="false">IF(Assumptions!V$188&lt;=Assumptions!$C$9,"A","F")</f>
        <v>F</v>
      </c>
      <c r="W190" s="147" t="str">
        <f aca="false">IF(Assumptions!W$188&lt;=Assumptions!$C$9,"A","F")</f>
        <v>F</v>
      </c>
      <c r="X190" s="147" t="str">
        <f aca="false">IF(Assumptions!X$188&lt;=Assumptions!$C$9,"A","F")</f>
        <v>F</v>
      </c>
      <c r="Y190" s="147" t="str">
        <f aca="false">IF(Assumptions!Y$188&lt;=Assumptions!$C$9,"A","F")</f>
        <v>F</v>
      </c>
      <c r="Z190" s="147" t="str">
        <f aca="false">IF(Assumptions!Z$188&lt;=Assumptions!$C$9,"A","F")</f>
        <v>F</v>
      </c>
      <c r="AA190" s="147" t="str">
        <f aca="false">IF(Assumptions!AA$188&lt;=Assumptions!$C$9,"A","F")</f>
        <v>F</v>
      </c>
      <c r="AB190" s="147" t="str">
        <f aca="false">IF(Assumptions!AB$188&lt;=Assumptions!$C$9,"A","F")</f>
        <v>F</v>
      </c>
    </row>
    <row r="191" customFormat="false" ht="15" hidden="false" customHeight="false" outlineLevel="0" collapsed="false">
      <c r="A191" s="28" t="s">
        <v>1809</v>
      </c>
      <c r="E191" s="146" t="n">
        <f aca="false">YEAR(Assumptions!E$188)</f>
        <v>2026</v>
      </c>
      <c r="F191" s="146" t="n">
        <f aca="false">YEAR(Assumptions!F$188)</f>
        <v>2026</v>
      </c>
      <c r="G191" s="146" t="n">
        <f aca="false">YEAR(Assumptions!G$188)</f>
        <v>2026</v>
      </c>
      <c r="H191" s="146" t="n">
        <f aca="false">YEAR(Assumptions!H$188)</f>
        <v>2026</v>
      </c>
      <c r="I191" s="146" t="n">
        <f aca="false">YEAR(Assumptions!I$188)</f>
        <v>2026</v>
      </c>
      <c r="J191" s="146" t="n">
        <f aca="false">YEAR(Assumptions!J$188)</f>
        <v>2026</v>
      </c>
      <c r="K191" s="146" t="n">
        <f aca="false">YEAR(Assumptions!K$188)</f>
        <v>2026</v>
      </c>
      <c r="L191" s="146" t="n">
        <f aca="false">YEAR(Assumptions!L$188)</f>
        <v>2026</v>
      </c>
      <c r="M191" s="146" t="n">
        <f aca="false">YEAR(Assumptions!M$188)</f>
        <v>2026</v>
      </c>
      <c r="N191" s="146" t="n">
        <f aca="false">YEAR(Assumptions!N$188)</f>
        <v>2026</v>
      </c>
      <c r="O191" s="146" t="n">
        <f aca="false">YEAR(Assumptions!O$188)</f>
        <v>2026</v>
      </c>
      <c r="P191" s="146" t="n">
        <f aca="false">YEAR(Assumptions!P$188)</f>
        <v>2026</v>
      </c>
      <c r="Q191" s="146" t="n">
        <f aca="false">YEAR(Assumptions!Q$188)</f>
        <v>2027</v>
      </c>
      <c r="R191" s="146" t="n">
        <f aca="false">YEAR(Assumptions!R$188)</f>
        <v>2027</v>
      </c>
      <c r="S191" s="146" t="n">
        <f aca="false">YEAR(Assumptions!S$188)</f>
        <v>2027</v>
      </c>
      <c r="T191" s="146" t="n">
        <f aca="false">YEAR(Assumptions!T$188)</f>
        <v>2027</v>
      </c>
      <c r="U191" s="146" t="n">
        <f aca="false">YEAR(Assumptions!U$188)</f>
        <v>2027</v>
      </c>
      <c r="V191" s="146" t="n">
        <f aca="false">YEAR(Assumptions!V$188)</f>
        <v>2027</v>
      </c>
      <c r="W191" s="146" t="n">
        <f aca="false">YEAR(Assumptions!W$188)</f>
        <v>2027</v>
      </c>
      <c r="X191" s="146" t="n">
        <f aca="false">YEAR(Assumptions!X$188)</f>
        <v>2027</v>
      </c>
      <c r="Y191" s="146" t="n">
        <f aca="false">YEAR(Assumptions!Y$188)</f>
        <v>2027</v>
      </c>
      <c r="Z191" s="146" t="n">
        <f aca="false">YEAR(Assumptions!Z$188)</f>
        <v>2027</v>
      </c>
      <c r="AA191" s="146" t="n">
        <f aca="false">YEAR(Assumptions!AA$188)</f>
        <v>2027</v>
      </c>
      <c r="AB191" s="146" t="n">
        <f aca="false">YEAR(Assumptions!AB$188)</f>
        <v>2027</v>
      </c>
    </row>
    <row r="192" customFormat="false" ht="15" hidden="false" customHeight="false" outlineLevel="0" collapsed="false">
      <c r="A192" s="28" t="s">
        <v>1810</v>
      </c>
      <c r="E192" s="146" t="n">
        <f aca="false">MONTH(Assumptions!E$188)</f>
        <v>1</v>
      </c>
      <c r="F192" s="146" t="n">
        <f aca="false">MONTH(Assumptions!F$188)</f>
        <v>2</v>
      </c>
      <c r="G192" s="146" t="n">
        <f aca="false">MONTH(Assumptions!G$188)</f>
        <v>3</v>
      </c>
      <c r="H192" s="146" t="n">
        <f aca="false">MONTH(Assumptions!H$188)</f>
        <v>4</v>
      </c>
      <c r="I192" s="146" t="n">
        <f aca="false">MONTH(Assumptions!I$188)</f>
        <v>5</v>
      </c>
      <c r="J192" s="146" t="n">
        <f aca="false">MONTH(Assumptions!J$188)</f>
        <v>6</v>
      </c>
      <c r="K192" s="146" t="n">
        <f aca="false">MONTH(Assumptions!K$188)</f>
        <v>7</v>
      </c>
      <c r="L192" s="146" t="n">
        <f aca="false">MONTH(Assumptions!L$188)</f>
        <v>8</v>
      </c>
      <c r="M192" s="146" t="n">
        <f aca="false">MONTH(Assumptions!M$188)</f>
        <v>9</v>
      </c>
      <c r="N192" s="146" t="n">
        <f aca="false">MONTH(Assumptions!N$188)</f>
        <v>10</v>
      </c>
      <c r="O192" s="146" t="n">
        <f aca="false">MONTH(Assumptions!O$188)</f>
        <v>11</v>
      </c>
      <c r="P192" s="146" t="n">
        <f aca="false">MONTH(Assumptions!P$188)</f>
        <v>12</v>
      </c>
      <c r="Q192" s="146" t="n">
        <f aca="false">MONTH(Assumptions!Q$188)</f>
        <v>1</v>
      </c>
      <c r="R192" s="146" t="n">
        <f aca="false">MONTH(Assumptions!R$188)</f>
        <v>2</v>
      </c>
      <c r="S192" s="146" t="n">
        <f aca="false">MONTH(Assumptions!S$188)</f>
        <v>3</v>
      </c>
      <c r="T192" s="146" t="n">
        <f aca="false">MONTH(Assumptions!T$188)</f>
        <v>4</v>
      </c>
      <c r="U192" s="146" t="n">
        <f aca="false">MONTH(Assumptions!U$188)</f>
        <v>5</v>
      </c>
      <c r="V192" s="146" t="n">
        <f aca="false">MONTH(Assumptions!V$188)</f>
        <v>6</v>
      </c>
      <c r="W192" s="146" t="n">
        <f aca="false">MONTH(Assumptions!W$188)</f>
        <v>7</v>
      </c>
      <c r="X192" s="146" t="n">
        <f aca="false">MONTH(Assumptions!X$188)</f>
        <v>8</v>
      </c>
      <c r="Y192" s="146" t="n">
        <f aca="false">MONTH(Assumptions!Y$188)</f>
        <v>9</v>
      </c>
      <c r="Z192" s="146" t="n">
        <f aca="false">MONTH(Assumptions!Z$188)</f>
        <v>10</v>
      </c>
      <c r="AA192" s="146" t="n">
        <f aca="false">MONTH(Assumptions!AA$188)</f>
        <v>11</v>
      </c>
      <c r="AB192" s="146" t="n">
        <f aca="false">MONTH(Assumptions!AB$188)</f>
        <v>12</v>
      </c>
    </row>
    <row r="193" customFormat="false" ht="15" hidden="false" customHeight="false" outlineLevel="0" collapsed="false">
      <c r="A193" s="28" t="s">
        <v>1811</v>
      </c>
      <c r="E193" s="146" t="n">
        <f aca="false">DAY(Assumptions!E$188)</f>
        <v>31</v>
      </c>
      <c r="F193" s="146" t="n">
        <f aca="false">DAY(Assumptions!F$188)</f>
        <v>28</v>
      </c>
      <c r="G193" s="146" t="n">
        <f aca="false">DAY(Assumptions!G$188)</f>
        <v>31</v>
      </c>
      <c r="H193" s="146" t="n">
        <f aca="false">DAY(Assumptions!H$188)</f>
        <v>30</v>
      </c>
      <c r="I193" s="146" t="n">
        <f aca="false">DAY(Assumptions!I$188)</f>
        <v>31</v>
      </c>
      <c r="J193" s="146" t="n">
        <f aca="false">DAY(Assumptions!J$188)</f>
        <v>30</v>
      </c>
      <c r="K193" s="146" t="n">
        <f aca="false">DAY(Assumptions!K$188)</f>
        <v>31</v>
      </c>
      <c r="L193" s="146" t="n">
        <f aca="false">DAY(Assumptions!L$188)</f>
        <v>31</v>
      </c>
      <c r="M193" s="146" t="n">
        <f aca="false">DAY(Assumptions!M$188)</f>
        <v>30</v>
      </c>
      <c r="N193" s="146" t="n">
        <f aca="false">DAY(Assumptions!N$188)</f>
        <v>31</v>
      </c>
      <c r="O193" s="146" t="n">
        <f aca="false">DAY(Assumptions!O$188)</f>
        <v>30</v>
      </c>
      <c r="P193" s="146" t="n">
        <f aca="false">DAY(Assumptions!P$188)</f>
        <v>31</v>
      </c>
      <c r="Q193" s="146" t="n">
        <f aca="false">DAY(Assumptions!Q$188)</f>
        <v>31</v>
      </c>
      <c r="R193" s="146" t="n">
        <f aca="false">DAY(Assumptions!R$188)</f>
        <v>28</v>
      </c>
      <c r="S193" s="146" t="n">
        <f aca="false">DAY(Assumptions!S$188)</f>
        <v>31</v>
      </c>
      <c r="T193" s="146" t="n">
        <f aca="false">DAY(Assumptions!T$188)</f>
        <v>30</v>
      </c>
      <c r="U193" s="146" t="n">
        <f aca="false">DAY(Assumptions!U$188)</f>
        <v>31</v>
      </c>
      <c r="V193" s="146" t="n">
        <f aca="false">DAY(Assumptions!V$188)</f>
        <v>30</v>
      </c>
      <c r="W193" s="146" t="n">
        <f aca="false">DAY(Assumptions!W$188)</f>
        <v>31</v>
      </c>
      <c r="X193" s="146" t="n">
        <f aca="false">DAY(Assumptions!X$188)</f>
        <v>31</v>
      </c>
      <c r="Y193" s="146" t="n">
        <f aca="false">DAY(Assumptions!Y$188)</f>
        <v>30</v>
      </c>
      <c r="Z193" s="146" t="n">
        <f aca="false">DAY(Assumptions!Z$188)</f>
        <v>31</v>
      </c>
      <c r="AA193" s="146" t="n">
        <f aca="false">DAY(Assumptions!AA$188)</f>
        <v>30</v>
      </c>
      <c r="AB193" s="146" t="n">
        <f aca="false">DAY(Assumptions!AB$188)</f>
        <v>31</v>
      </c>
    </row>
    <row r="194" customFormat="false" ht="15" hidden="false" customHeight="false" outlineLevel="0" collapsed="false">
      <c r="A194" s="28" t="s">
        <v>1812</v>
      </c>
      <c r="E194" s="146" t="n">
        <f aca="false">MAX(0,Assumptions!E$189-Assumptions!$C$10)</f>
        <v>0</v>
      </c>
      <c r="F194" s="146" t="n">
        <f aca="false">MAX(0,Assumptions!F$189-Assumptions!$C$10)</f>
        <v>0</v>
      </c>
      <c r="G194" s="146" t="n">
        <f aca="false">MAX(0,Assumptions!G$189-Assumptions!$C$10)</f>
        <v>0</v>
      </c>
      <c r="H194" s="146" t="n">
        <f aca="false">MAX(0,Assumptions!H$189-Assumptions!$C$10)</f>
        <v>0</v>
      </c>
      <c r="I194" s="146" t="n">
        <f aca="false">MAX(0,Assumptions!I$189-Assumptions!$C$10)</f>
        <v>0</v>
      </c>
      <c r="J194" s="146" t="n">
        <f aca="false">MAX(0,Assumptions!J$189-Assumptions!$C$10)</f>
        <v>0</v>
      </c>
      <c r="K194" s="146" t="n">
        <f aca="false">MAX(0,Assumptions!K$189-Assumptions!$C$10)</f>
        <v>0</v>
      </c>
      <c r="L194" s="146" t="n">
        <f aca="false">MAX(0,Assumptions!L$189-Assumptions!$C$10)</f>
        <v>0</v>
      </c>
      <c r="M194" s="146" t="n">
        <f aca="false">MAX(0,Assumptions!M$189-Assumptions!$C$10)</f>
        <v>1</v>
      </c>
      <c r="N194" s="146" t="n">
        <f aca="false">MAX(0,Assumptions!N$189-Assumptions!$C$10)</f>
        <v>2</v>
      </c>
      <c r="O194" s="146" t="n">
        <f aca="false">MAX(0,Assumptions!O$189-Assumptions!$C$10)</f>
        <v>3</v>
      </c>
      <c r="P194" s="146" t="n">
        <f aca="false">MAX(0,Assumptions!P$189-Assumptions!$C$10)</f>
        <v>4</v>
      </c>
      <c r="Q194" s="146" t="n">
        <f aca="false">MAX(0,Assumptions!Q$189-Assumptions!$C$10)</f>
        <v>5</v>
      </c>
      <c r="R194" s="146" t="n">
        <f aca="false">MAX(0,Assumptions!R$189-Assumptions!$C$10)</f>
        <v>6</v>
      </c>
      <c r="S194" s="146" t="n">
        <f aca="false">MAX(0,Assumptions!S$189-Assumptions!$C$10)</f>
        <v>7</v>
      </c>
      <c r="T194" s="146" t="n">
        <f aca="false">MAX(0,Assumptions!T$189-Assumptions!$C$10)</f>
        <v>8</v>
      </c>
      <c r="U194" s="146" t="n">
        <f aca="false">MAX(0,Assumptions!U$189-Assumptions!$C$10)</f>
        <v>9</v>
      </c>
      <c r="V194" s="146" t="n">
        <f aca="false">MAX(0,Assumptions!V$189-Assumptions!$C$10)</f>
        <v>10</v>
      </c>
      <c r="W194" s="146" t="n">
        <f aca="false">MAX(0,Assumptions!W$189-Assumptions!$C$10)</f>
        <v>11</v>
      </c>
      <c r="X194" s="146" t="n">
        <f aca="false">MAX(0,Assumptions!X$189-Assumptions!$C$10)</f>
        <v>12</v>
      </c>
      <c r="Y194" s="146" t="n">
        <f aca="false">MAX(0,Assumptions!Y$189-Assumptions!$C$10)</f>
        <v>13</v>
      </c>
      <c r="Z194" s="146" t="n">
        <f aca="false">MAX(0,Assumptions!Z$189-Assumptions!$C$10)</f>
        <v>14</v>
      </c>
      <c r="AA194" s="146" t="n">
        <f aca="false">MAX(0,Assumptions!AA$189-Assumptions!$C$10)</f>
        <v>15</v>
      </c>
      <c r="AB194" s="146" t="n">
        <f aca="false">MAX(0,Assumptions!AB$189-Assumptions!$C$10)</f>
        <v>16</v>
      </c>
    </row>
    <row r="195" customFormat="false" ht="15" hidden="false" customHeight="false" outlineLevel="0" collapsed="false">
      <c r="A195" s="28" t="s">
        <v>1813</v>
      </c>
      <c r="E195" s="148" t="n">
        <f aca="false">(1+Assumptions!$F$175)^(Assumptions!E$191-YEAR(Assumptions!$C$8))</f>
        <v>1</v>
      </c>
      <c r="F195" s="148" t="n">
        <f aca="false">(1+Assumptions!$F$175)^(Assumptions!F$191-YEAR(Assumptions!$C$8))</f>
        <v>1</v>
      </c>
      <c r="G195" s="148" t="n">
        <f aca="false">(1+Assumptions!$F$175)^(Assumptions!G$191-YEAR(Assumptions!$C$8))</f>
        <v>1</v>
      </c>
      <c r="H195" s="148" t="n">
        <f aca="false">(1+Assumptions!$F$175)^(Assumptions!H$191-YEAR(Assumptions!$C$8))</f>
        <v>1</v>
      </c>
      <c r="I195" s="148" t="n">
        <f aca="false">(1+Assumptions!$F$175)^(Assumptions!I$191-YEAR(Assumptions!$C$8))</f>
        <v>1</v>
      </c>
      <c r="J195" s="148" t="n">
        <f aca="false">(1+Assumptions!$F$175)^(Assumptions!J$191-YEAR(Assumptions!$C$8))</f>
        <v>1</v>
      </c>
      <c r="K195" s="148" t="n">
        <f aca="false">(1+Assumptions!$F$175)^(Assumptions!K$191-YEAR(Assumptions!$C$8))</f>
        <v>1</v>
      </c>
      <c r="L195" s="148" t="n">
        <f aca="false">(1+Assumptions!$F$175)^(Assumptions!L$191-YEAR(Assumptions!$C$8))</f>
        <v>1</v>
      </c>
      <c r="M195" s="148" t="n">
        <f aca="false">(1+Assumptions!$F$175)^(Assumptions!M$191-YEAR(Assumptions!$C$8))</f>
        <v>1</v>
      </c>
      <c r="N195" s="148" t="n">
        <f aca="false">(1+Assumptions!$F$175)^(Assumptions!N$191-YEAR(Assumptions!$C$8))</f>
        <v>1</v>
      </c>
      <c r="O195" s="148" t="n">
        <f aca="false">(1+Assumptions!$F$175)^(Assumptions!O$191-YEAR(Assumptions!$C$8))</f>
        <v>1</v>
      </c>
      <c r="P195" s="148" t="n">
        <f aca="false">(1+Assumptions!$F$175)^(Assumptions!P$191-YEAR(Assumptions!$C$8))</f>
        <v>1</v>
      </c>
      <c r="Q195" s="148" t="n">
        <f aca="false">(1+Assumptions!$F$175)^(Assumptions!Q$191-YEAR(Assumptions!$C$8))</f>
        <v>1.035</v>
      </c>
      <c r="R195" s="148" t="n">
        <f aca="false">(1+Assumptions!$F$175)^(Assumptions!R$191-YEAR(Assumptions!$C$8))</f>
        <v>1.035</v>
      </c>
      <c r="S195" s="148" t="n">
        <f aca="false">(1+Assumptions!$F$175)^(Assumptions!S$191-YEAR(Assumptions!$C$8))</f>
        <v>1.035</v>
      </c>
      <c r="T195" s="148" t="n">
        <f aca="false">(1+Assumptions!$F$175)^(Assumptions!T$191-YEAR(Assumptions!$C$8))</f>
        <v>1.035</v>
      </c>
      <c r="U195" s="148" t="n">
        <f aca="false">(1+Assumptions!$F$175)^(Assumptions!U$191-YEAR(Assumptions!$C$8))</f>
        <v>1.035</v>
      </c>
      <c r="V195" s="148" t="n">
        <f aca="false">(1+Assumptions!$F$175)^(Assumptions!V$191-YEAR(Assumptions!$C$8))</f>
        <v>1.035</v>
      </c>
      <c r="W195" s="148" t="n">
        <f aca="false">(1+Assumptions!$F$175)^(Assumptions!W$191-YEAR(Assumptions!$C$8))</f>
        <v>1.035</v>
      </c>
      <c r="X195" s="148" t="n">
        <f aca="false">(1+Assumptions!$F$175)^(Assumptions!X$191-YEAR(Assumptions!$C$8))</f>
        <v>1.035</v>
      </c>
      <c r="Y195" s="148" t="n">
        <f aca="false">(1+Assumptions!$F$175)^(Assumptions!Y$191-YEAR(Assumptions!$C$8))</f>
        <v>1.035</v>
      </c>
      <c r="Z195" s="148" t="n">
        <f aca="false">(1+Assumptions!$F$175)^(Assumptions!Z$191-YEAR(Assumptions!$C$8))</f>
        <v>1.035</v>
      </c>
      <c r="AA195" s="148" t="n">
        <f aca="false">(1+Assumptions!$F$175)^(Assumptions!AA$191-YEAR(Assumptions!$C$8))</f>
        <v>1.035</v>
      </c>
      <c r="AB195" s="148" t="n">
        <f aca="false">(1+Assumptions!$F$175)^(Assumptions!AB$191-YEAR(Assumptions!$C$8))</f>
        <v>1.035</v>
      </c>
    </row>
    <row r="196" customFormat="false" ht="15" hidden="false" customHeight="false" outlineLevel="0" collapsed="false">
      <c r="A196" s="28" t="s">
        <v>1814</v>
      </c>
      <c r="E196" s="148" t="n">
        <f aca="false">(1+Assumptions!$C$158)^(Assumptions!E$191-YEAR(Assumptions!$C$8))</f>
        <v>1</v>
      </c>
      <c r="F196" s="148" t="n">
        <f aca="false">(1+Assumptions!$C$158)^(Assumptions!F$191-YEAR(Assumptions!$C$8))</f>
        <v>1</v>
      </c>
      <c r="G196" s="148" t="n">
        <f aca="false">(1+Assumptions!$C$158)^(Assumptions!G$191-YEAR(Assumptions!$C$8))</f>
        <v>1</v>
      </c>
      <c r="H196" s="148" t="n">
        <f aca="false">(1+Assumptions!$C$158)^(Assumptions!H$191-YEAR(Assumptions!$C$8))</f>
        <v>1</v>
      </c>
      <c r="I196" s="148" t="n">
        <f aca="false">(1+Assumptions!$C$158)^(Assumptions!I$191-YEAR(Assumptions!$C$8))</f>
        <v>1</v>
      </c>
      <c r="J196" s="148" t="n">
        <f aca="false">(1+Assumptions!$C$158)^(Assumptions!J$191-YEAR(Assumptions!$C$8))</f>
        <v>1</v>
      </c>
      <c r="K196" s="148" t="n">
        <f aca="false">(1+Assumptions!$C$158)^(Assumptions!K$191-YEAR(Assumptions!$C$8))</f>
        <v>1</v>
      </c>
      <c r="L196" s="148" t="n">
        <f aca="false">(1+Assumptions!$C$158)^(Assumptions!L$191-YEAR(Assumptions!$C$8))</f>
        <v>1</v>
      </c>
      <c r="M196" s="148" t="n">
        <f aca="false">(1+Assumptions!$C$158)^(Assumptions!M$191-YEAR(Assumptions!$C$8))</f>
        <v>1</v>
      </c>
      <c r="N196" s="148" t="n">
        <f aca="false">(1+Assumptions!$C$158)^(Assumptions!N$191-YEAR(Assumptions!$C$8))</f>
        <v>1</v>
      </c>
      <c r="O196" s="148" t="n">
        <f aca="false">(1+Assumptions!$C$158)^(Assumptions!O$191-YEAR(Assumptions!$C$8))</f>
        <v>1</v>
      </c>
      <c r="P196" s="148" t="n">
        <f aca="false">(1+Assumptions!$C$158)^(Assumptions!P$191-YEAR(Assumptions!$C$8))</f>
        <v>1</v>
      </c>
      <c r="Q196" s="148" t="n">
        <f aca="false">(1+Assumptions!$C$158)^(Assumptions!Q$191-YEAR(Assumptions!$C$8))</f>
        <v>1.03</v>
      </c>
      <c r="R196" s="148" t="n">
        <f aca="false">(1+Assumptions!$C$158)^(Assumptions!R$191-YEAR(Assumptions!$C$8))</f>
        <v>1.03</v>
      </c>
      <c r="S196" s="148" t="n">
        <f aca="false">(1+Assumptions!$C$158)^(Assumptions!S$191-YEAR(Assumptions!$C$8))</f>
        <v>1.03</v>
      </c>
      <c r="T196" s="148" t="n">
        <f aca="false">(1+Assumptions!$C$158)^(Assumptions!T$191-YEAR(Assumptions!$C$8))</f>
        <v>1.03</v>
      </c>
      <c r="U196" s="148" t="n">
        <f aca="false">(1+Assumptions!$C$158)^(Assumptions!U$191-YEAR(Assumptions!$C$8))</f>
        <v>1.03</v>
      </c>
      <c r="V196" s="148" t="n">
        <f aca="false">(1+Assumptions!$C$158)^(Assumptions!V$191-YEAR(Assumptions!$C$8))</f>
        <v>1.03</v>
      </c>
      <c r="W196" s="148" t="n">
        <f aca="false">(1+Assumptions!$C$158)^(Assumptions!W$191-YEAR(Assumptions!$C$8))</f>
        <v>1.03</v>
      </c>
      <c r="X196" s="148" t="n">
        <f aca="false">(1+Assumptions!$C$158)^(Assumptions!X$191-YEAR(Assumptions!$C$8))</f>
        <v>1.03</v>
      </c>
      <c r="Y196" s="148" t="n">
        <f aca="false">(1+Assumptions!$C$158)^(Assumptions!Y$191-YEAR(Assumptions!$C$8))</f>
        <v>1.03</v>
      </c>
      <c r="Z196" s="148" t="n">
        <f aca="false">(1+Assumptions!$C$158)^(Assumptions!Z$191-YEAR(Assumptions!$C$8))</f>
        <v>1.03</v>
      </c>
      <c r="AA196" s="148" t="n">
        <f aca="false">(1+Assumptions!$C$158)^(Assumptions!AA$191-YEAR(Assumptions!$C$8))</f>
        <v>1.03</v>
      </c>
      <c r="AB196" s="148" t="n">
        <f aca="false">(1+Assumptions!$C$158)^(Assumptions!AB$191-YEAR(Assumptions!$C$8))</f>
        <v>1.03</v>
      </c>
    </row>
    <row r="197" customFormat="false" ht="15" hidden="false" customHeight="false" outlineLevel="0" collapsed="false">
      <c r="A197" s="28" t="s">
        <v>1815</v>
      </c>
      <c r="E197" s="149" t="n">
        <v>1.2303</v>
      </c>
      <c r="F197" s="149" t="n">
        <v>1.0891</v>
      </c>
      <c r="G197" s="149" t="n">
        <v>1.0588</v>
      </c>
      <c r="H197" s="149" t="n">
        <v>1.0084</v>
      </c>
      <c r="I197" s="149" t="n">
        <v>1.0084</v>
      </c>
      <c r="J197" s="149" t="n">
        <v>0.958</v>
      </c>
      <c r="K197" s="149" t="n">
        <v>0.8571</v>
      </c>
      <c r="L197" s="149" t="n">
        <v>0.6857</v>
      </c>
      <c r="M197" s="149" t="n">
        <v>1.0891</v>
      </c>
      <c r="N197" s="149" t="n">
        <v>1.1294</v>
      </c>
      <c r="O197" s="149" t="n">
        <v>1.0286</v>
      </c>
      <c r="P197" s="149" t="n">
        <v>0.8571</v>
      </c>
      <c r="Q197" s="148" t="n">
        <f aca="false">E197</f>
        <v>1.2303</v>
      </c>
      <c r="R197" s="148" t="n">
        <f aca="false">F197</f>
        <v>1.0891</v>
      </c>
      <c r="S197" s="148" t="n">
        <f aca="false">G197</f>
        <v>1.0588</v>
      </c>
      <c r="T197" s="148" t="n">
        <f aca="false">H197</f>
        <v>1.0084</v>
      </c>
      <c r="U197" s="148" t="n">
        <f aca="false">I197</f>
        <v>1.0084</v>
      </c>
      <c r="V197" s="148" t="n">
        <f aca="false">J197</f>
        <v>0.958</v>
      </c>
      <c r="W197" s="148" t="n">
        <f aca="false">K197</f>
        <v>0.8571</v>
      </c>
      <c r="X197" s="148" t="n">
        <f aca="false">L197</f>
        <v>0.6857</v>
      </c>
      <c r="Y197" s="148" t="n">
        <f aca="false">M197</f>
        <v>1.0891</v>
      </c>
      <c r="Z197" s="148" t="n">
        <f aca="false">N197</f>
        <v>1.1294</v>
      </c>
      <c r="AA197" s="148" t="n">
        <f aca="false">O197</f>
        <v>1.0286</v>
      </c>
      <c r="AB197" s="148" t="n">
        <f aca="false">P197</f>
        <v>0.8571</v>
      </c>
    </row>
    <row r="198" customFormat="false" ht="15" hidden="false" customHeight="false" outlineLevel="0" collapsed="false">
      <c r="A198" s="28" t="s">
        <v>1816</v>
      </c>
      <c r="E198" s="150" t="n">
        <f aca="false">IF(Assumptions!E$192=1,IF(Assumptions!E$191=2026,Assumptions!$C$134,Assumptions!$F$172),0)</f>
        <v>0.05</v>
      </c>
      <c r="F198" s="150" t="n">
        <f aca="false">IF(Assumptions!F$192=1,IF(Assumptions!F$191=2026,Assumptions!$C$134,Assumptions!$F$172),0)</f>
        <v>0</v>
      </c>
      <c r="G198" s="150" t="n">
        <f aca="false">IF(Assumptions!G$192=1,IF(Assumptions!G$191=2026,Assumptions!$C$134,Assumptions!$F$172),0)</f>
        <v>0</v>
      </c>
      <c r="H198" s="150" t="n">
        <f aca="false">IF(Assumptions!H$192=1,IF(Assumptions!H$191=2026,Assumptions!$C$134,Assumptions!$F$172),0)</f>
        <v>0</v>
      </c>
      <c r="I198" s="150" t="n">
        <f aca="false">IF(Assumptions!I$192=1,IF(Assumptions!I$191=2026,Assumptions!$C$134,Assumptions!$F$172),0)</f>
        <v>0</v>
      </c>
      <c r="J198" s="150" t="n">
        <f aca="false">IF(Assumptions!J$192=1,IF(Assumptions!J$191=2026,Assumptions!$C$134,Assumptions!$F$172),0)</f>
        <v>0</v>
      </c>
      <c r="K198" s="150" t="n">
        <f aca="false">IF(Assumptions!K$192=1,IF(Assumptions!K$191=2026,Assumptions!$C$134,Assumptions!$F$172),0)</f>
        <v>0</v>
      </c>
      <c r="L198" s="150" t="n">
        <f aca="false">IF(Assumptions!L$192=1,IF(Assumptions!L$191=2026,Assumptions!$C$134,Assumptions!$F$172),0)</f>
        <v>0</v>
      </c>
      <c r="M198" s="150" t="n">
        <f aca="false">IF(Assumptions!M$192=1,IF(Assumptions!M$191=2026,Assumptions!$C$134,Assumptions!$F$172),0)</f>
        <v>0</v>
      </c>
      <c r="N198" s="150" t="n">
        <f aca="false">IF(Assumptions!N$192=1,IF(Assumptions!N$191=2026,Assumptions!$C$134,Assumptions!$F$172),0)</f>
        <v>0</v>
      </c>
      <c r="O198" s="150" t="n">
        <f aca="false">IF(Assumptions!O$192=1,IF(Assumptions!O$191=2026,Assumptions!$C$134,Assumptions!$F$172),0)</f>
        <v>0</v>
      </c>
      <c r="P198" s="150" t="n">
        <f aca="false">IF(Assumptions!P$192=1,IF(Assumptions!P$191=2026,Assumptions!$C$134,Assumptions!$F$172),0)</f>
        <v>0</v>
      </c>
      <c r="Q198" s="150" t="n">
        <f aca="false">IF(Assumptions!Q$192=1,IF(Assumptions!Q$191=2026,Assumptions!$C$134,Assumptions!$F$172),0)</f>
        <v>0.05</v>
      </c>
      <c r="R198" s="150" t="n">
        <f aca="false">IF(Assumptions!R$192=1,IF(Assumptions!R$191=2026,Assumptions!$C$134,Assumptions!$F$172),0)</f>
        <v>0</v>
      </c>
      <c r="S198" s="150" t="n">
        <f aca="false">IF(Assumptions!S$192=1,IF(Assumptions!S$191=2026,Assumptions!$C$134,Assumptions!$F$172),0)</f>
        <v>0</v>
      </c>
      <c r="T198" s="150" t="n">
        <f aca="false">IF(Assumptions!T$192=1,IF(Assumptions!T$191=2026,Assumptions!$C$134,Assumptions!$F$172),0)</f>
        <v>0</v>
      </c>
      <c r="U198" s="150" t="n">
        <f aca="false">IF(Assumptions!U$192=1,IF(Assumptions!U$191=2026,Assumptions!$C$134,Assumptions!$F$172),0)</f>
        <v>0</v>
      </c>
      <c r="V198" s="150" t="n">
        <f aca="false">IF(Assumptions!V$192=1,IF(Assumptions!V$191=2026,Assumptions!$C$134,Assumptions!$F$172),0)</f>
        <v>0</v>
      </c>
      <c r="W198" s="150" t="n">
        <f aca="false">IF(Assumptions!W$192=1,IF(Assumptions!W$191=2026,Assumptions!$C$134,Assumptions!$F$172),0)</f>
        <v>0</v>
      </c>
      <c r="X198" s="150" t="n">
        <f aca="false">IF(Assumptions!X$192=1,IF(Assumptions!X$191=2026,Assumptions!$C$134,Assumptions!$F$172),0)</f>
        <v>0</v>
      </c>
      <c r="Y198" s="150" t="n">
        <f aca="false">IF(Assumptions!Y$192=1,IF(Assumptions!Y$191=2026,Assumptions!$C$134,Assumptions!$F$172),0)</f>
        <v>0</v>
      </c>
      <c r="Z198" s="150" t="n">
        <f aca="false">IF(Assumptions!Z$192=1,IF(Assumptions!Z$191=2026,Assumptions!$C$134,Assumptions!$F$172),0)</f>
        <v>0</v>
      </c>
      <c r="AA198" s="150" t="n">
        <f aca="false">IF(Assumptions!AA$192=1,IF(Assumptions!AA$191=2026,Assumptions!$C$134,Assumptions!$F$172),0)</f>
        <v>0</v>
      </c>
      <c r="AB198" s="150" t="n">
        <f aca="false">IF(Assumptions!AB$192=1,IF(Assumptions!AB$191=2026,Assumptions!$C$134,Assumptions!$F$172),0)</f>
        <v>0</v>
      </c>
    </row>
    <row r="199" customFormat="false" ht="15" hidden="false" customHeight="false" outlineLevel="0" collapsed="false">
      <c r="A199" s="28" t="s">
        <v>1817</v>
      </c>
      <c r="E199" s="150" t="n">
        <f aca="false">IF(Assumptions!E$191=2026,Assumptions!$C$134,Assumptions!$F$172)</f>
        <v>0.05</v>
      </c>
      <c r="F199" s="150" t="n">
        <f aca="false">IF(Assumptions!F$191=2026,Assumptions!$C$134,Assumptions!$F$172)</f>
        <v>0.05</v>
      </c>
      <c r="G199" s="150" t="n">
        <f aca="false">IF(Assumptions!G$191=2026,Assumptions!$C$134,Assumptions!$F$172)</f>
        <v>0.05</v>
      </c>
      <c r="H199" s="150" t="n">
        <f aca="false">IF(Assumptions!H$191=2026,Assumptions!$C$134,Assumptions!$F$172)</f>
        <v>0.05</v>
      </c>
      <c r="I199" s="150" t="n">
        <f aca="false">IF(Assumptions!I$191=2026,Assumptions!$C$134,Assumptions!$F$172)</f>
        <v>0.05</v>
      </c>
      <c r="J199" s="150" t="n">
        <f aca="false">IF(Assumptions!J$191=2026,Assumptions!$C$134,Assumptions!$F$172)</f>
        <v>0.05</v>
      </c>
      <c r="K199" s="150" t="n">
        <f aca="false">IF(Assumptions!K$191=2026,Assumptions!$C$134,Assumptions!$F$172)</f>
        <v>0.05</v>
      </c>
      <c r="L199" s="150" t="n">
        <f aca="false">IF(Assumptions!L$191=2026,Assumptions!$C$134,Assumptions!$F$172)</f>
        <v>0.05</v>
      </c>
      <c r="M199" s="150" t="n">
        <f aca="false">IF(Assumptions!M$191=2026,Assumptions!$C$134,Assumptions!$F$172)</f>
        <v>0.05</v>
      </c>
      <c r="N199" s="150" t="n">
        <f aca="false">IF(Assumptions!N$191=2026,Assumptions!$C$134,Assumptions!$F$172)</f>
        <v>0.05</v>
      </c>
      <c r="O199" s="150" t="n">
        <f aca="false">IF(Assumptions!O$191=2026,Assumptions!$C$134,Assumptions!$F$172)</f>
        <v>0.05</v>
      </c>
      <c r="P199" s="150" t="n">
        <f aca="false">IF(Assumptions!P$191=2026,Assumptions!$C$134,Assumptions!$F$172)</f>
        <v>0.05</v>
      </c>
      <c r="Q199" s="150" t="n">
        <f aca="false">IF(Assumptions!Q$191=2026,Assumptions!$C$134,Assumptions!$F$172)</f>
        <v>0.05</v>
      </c>
      <c r="R199" s="150" t="n">
        <f aca="false">IF(Assumptions!R$191=2026,Assumptions!$C$134,Assumptions!$F$172)</f>
        <v>0.05</v>
      </c>
      <c r="S199" s="150" t="n">
        <f aca="false">IF(Assumptions!S$191=2026,Assumptions!$C$134,Assumptions!$F$172)</f>
        <v>0.05</v>
      </c>
      <c r="T199" s="150" t="n">
        <f aca="false">IF(Assumptions!T$191=2026,Assumptions!$C$134,Assumptions!$F$172)</f>
        <v>0.05</v>
      </c>
      <c r="U199" s="150" t="n">
        <f aca="false">IF(Assumptions!U$191=2026,Assumptions!$C$134,Assumptions!$F$172)</f>
        <v>0.05</v>
      </c>
      <c r="V199" s="150" t="n">
        <f aca="false">IF(Assumptions!V$191=2026,Assumptions!$C$134,Assumptions!$F$172)</f>
        <v>0.05</v>
      </c>
      <c r="W199" s="150" t="n">
        <f aca="false">IF(Assumptions!W$191=2026,Assumptions!$C$134,Assumptions!$F$172)</f>
        <v>0.05</v>
      </c>
      <c r="X199" s="150" t="n">
        <f aca="false">IF(Assumptions!X$191=2026,Assumptions!$C$134,Assumptions!$F$172)</f>
        <v>0.05</v>
      </c>
      <c r="Y199" s="150" t="n">
        <f aca="false">IF(Assumptions!Y$191=2026,Assumptions!$C$134,Assumptions!$F$172)</f>
        <v>0.05</v>
      </c>
      <c r="Z199" s="150" t="n">
        <f aca="false">IF(Assumptions!Z$191=2026,Assumptions!$C$134,Assumptions!$F$172)</f>
        <v>0.05</v>
      </c>
      <c r="AA199" s="150" t="n">
        <f aca="false">IF(Assumptions!AA$191=2026,Assumptions!$C$134,Assumptions!$F$172)</f>
        <v>0.05</v>
      </c>
      <c r="AB199" s="150" t="n">
        <f aca="false">IF(Assumptions!AB$191=2026,Assumptions!$C$134,Assumptions!$F$172)</f>
        <v>0.05</v>
      </c>
    </row>
    <row r="200" customFormat="false" ht="15" hidden="false" customHeight="false" outlineLevel="0" collapsed="false">
      <c r="A200" s="28" t="s">
        <v>1818</v>
      </c>
      <c r="E200" s="150" t="n">
        <f aca="false">IF(Assumptions!E$191=2026,Assumptions!$C$135,Assumptions!$F$173)</f>
        <v>0.03</v>
      </c>
      <c r="F200" s="150" t="n">
        <f aca="false">IF(Assumptions!F$191=2026,Assumptions!$C$135,Assumptions!$F$173)</f>
        <v>0.03</v>
      </c>
      <c r="G200" s="150" t="n">
        <f aca="false">IF(Assumptions!G$191=2026,Assumptions!$C$135,Assumptions!$F$173)</f>
        <v>0.03</v>
      </c>
      <c r="H200" s="150" t="n">
        <f aca="false">IF(Assumptions!H$191=2026,Assumptions!$C$135,Assumptions!$F$173)</f>
        <v>0.03</v>
      </c>
      <c r="I200" s="150" t="n">
        <f aca="false">IF(Assumptions!I$191=2026,Assumptions!$C$135,Assumptions!$F$173)</f>
        <v>0.03</v>
      </c>
      <c r="J200" s="150" t="n">
        <f aca="false">IF(Assumptions!J$191=2026,Assumptions!$C$135,Assumptions!$F$173)</f>
        <v>0.03</v>
      </c>
      <c r="K200" s="150" t="n">
        <f aca="false">IF(Assumptions!K$191=2026,Assumptions!$C$135,Assumptions!$F$173)</f>
        <v>0.03</v>
      </c>
      <c r="L200" s="150" t="n">
        <f aca="false">IF(Assumptions!L$191=2026,Assumptions!$C$135,Assumptions!$F$173)</f>
        <v>0.03</v>
      </c>
      <c r="M200" s="150" t="n">
        <f aca="false">IF(Assumptions!M$191=2026,Assumptions!$C$135,Assumptions!$F$173)</f>
        <v>0.03</v>
      </c>
      <c r="N200" s="150" t="n">
        <f aca="false">IF(Assumptions!N$191=2026,Assumptions!$C$135,Assumptions!$F$173)</f>
        <v>0.03</v>
      </c>
      <c r="O200" s="150" t="n">
        <f aca="false">IF(Assumptions!O$191=2026,Assumptions!$C$135,Assumptions!$F$173)</f>
        <v>0.03</v>
      </c>
      <c r="P200" s="150" t="n">
        <f aca="false">IF(Assumptions!P$191=2026,Assumptions!$C$135,Assumptions!$F$173)</f>
        <v>0.03</v>
      </c>
      <c r="Q200" s="150" t="n">
        <f aca="false">IF(Assumptions!Q$191=2026,Assumptions!$C$135,Assumptions!$F$173)</f>
        <v>0.03</v>
      </c>
      <c r="R200" s="150" t="n">
        <f aca="false">IF(Assumptions!R$191=2026,Assumptions!$C$135,Assumptions!$F$173)</f>
        <v>0.03</v>
      </c>
      <c r="S200" s="150" t="n">
        <f aca="false">IF(Assumptions!S$191=2026,Assumptions!$C$135,Assumptions!$F$173)</f>
        <v>0.03</v>
      </c>
      <c r="T200" s="150" t="n">
        <f aca="false">IF(Assumptions!T$191=2026,Assumptions!$C$135,Assumptions!$F$173)</f>
        <v>0.03</v>
      </c>
      <c r="U200" s="150" t="n">
        <f aca="false">IF(Assumptions!U$191=2026,Assumptions!$C$135,Assumptions!$F$173)</f>
        <v>0.03</v>
      </c>
      <c r="V200" s="150" t="n">
        <f aca="false">IF(Assumptions!V$191=2026,Assumptions!$C$135,Assumptions!$F$173)</f>
        <v>0.03</v>
      </c>
      <c r="W200" s="150" t="n">
        <f aca="false">IF(Assumptions!W$191=2026,Assumptions!$C$135,Assumptions!$F$173)</f>
        <v>0.03</v>
      </c>
      <c r="X200" s="150" t="n">
        <f aca="false">IF(Assumptions!X$191=2026,Assumptions!$C$135,Assumptions!$F$173)</f>
        <v>0.03</v>
      </c>
      <c r="Y200" s="150" t="n">
        <f aca="false">IF(Assumptions!Y$191=2026,Assumptions!$C$135,Assumptions!$F$173)</f>
        <v>0.03</v>
      </c>
      <c r="Z200" s="150" t="n">
        <f aca="false">IF(Assumptions!Z$191=2026,Assumptions!$C$135,Assumptions!$F$173)</f>
        <v>0.03</v>
      </c>
      <c r="AA200" s="150" t="n">
        <f aca="false">IF(Assumptions!AA$191=2026,Assumptions!$C$135,Assumptions!$F$173)</f>
        <v>0.03</v>
      </c>
      <c r="AB200" s="150" t="n">
        <f aca="false">IF(Assumptions!AB$191=2026,Assumptions!$C$135,Assumptions!$F$173)</f>
        <v>0.03</v>
      </c>
    </row>
    <row r="201" customFormat="false" ht="15" hidden="false" customHeight="false" outlineLevel="0" collapsed="false">
      <c r="A201" s="28" t="s">
        <v>1819</v>
      </c>
      <c r="E201" s="148" t="n">
        <f aca="false">IF(Assumptions!E$191=2026,1,1+Assumptions!$F$172)</f>
        <v>1</v>
      </c>
      <c r="F201" s="148" t="n">
        <f aca="false">IF(Assumptions!F$191=2026,1,1+Assumptions!$F$172)</f>
        <v>1</v>
      </c>
      <c r="G201" s="148" t="n">
        <f aca="false">IF(Assumptions!G$191=2026,1,1+Assumptions!$F$172)</f>
        <v>1</v>
      </c>
      <c r="H201" s="148" t="n">
        <f aca="false">IF(Assumptions!H$191=2026,1,1+Assumptions!$F$172)</f>
        <v>1</v>
      </c>
      <c r="I201" s="148" t="n">
        <f aca="false">IF(Assumptions!I$191=2026,1,1+Assumptions!$F$172)</f>
        <v>1</v>
      </c>
      <c r="J201" s="148" t="n">
        <f aca="false">IF(Assumptions!J$191=2026,1,1+Assumptions!$F$172)</f>
        <v>1</v>
      </c>
      <c r="K201" s="148" t="n">
        <f aca="false">IF(Assumptions!K$191=2026,1,1+Assumptions!$F$172)</f>
        <v>1</v>
      </c>
      <c r="L201" s="148" t="n">
        <f aca="false">IF(Assumptions!L$191=2026,1,1+Assumptions!$F$172)</f>
        <v>1</v>
      </c>
      <c r="M201" s="148" t="n">
        <f aca="false">IF(Assumptions!M$191=2026,1,1+Assumptions!$F$172)</f>
        <v>1</v>
      </c>
      <c r="N201" s="148" t="n">
        <f aca="false">IF(Assumptions!N$191=2026,1,1+Assumptions!$F$172)</f>
        <v>1</v>
      </c>
      <c r="O201" s="148" t="n">
        <f aca="false">IF(Assumptions!O$191=2026,1,1+Assumptions!$F$172)</f>
        <v>1</v>
      </c>
      <c r="P201" s="148" t="n">
        <f aca="false">IF(Assumptions!P$191=2026,1,1+Assumptions!$F$172)</f>
        <v>1</v>
      </c>
      <c r="Q201" s="148" t="n">
        <f aca="false">IF(Assumptions!Q$191=2026,1,1+Assumptions!$F$172)</f>
        <v>1.05</v>
      </c>
      <c r="R201" s="148" t="n">
        <f aca="false">IF(Assumptions!R$191=2026,1,1+Assumptions!$F$172)</f>
        <v>1.05</v>
      </c>
      <c r="S201" s="148" t="n">
        <f aca="false">IF(Assumptions!S$191=2026,1,1+Assumptions!$F$172)</f>
        <v>1.05</v>
      </c>
      <c r="T201" s="148" t="n">
        <f aca="false">IF(Assumptions!T$191=2026,1,1+Assumptions!$F$172)</f>
        <v>1.05</v>
      </c>
      <c r="U201" s="148" t="n">
        <f aca="false">IF(Assumptions!U$191=2026,1,1+Assumptions!$F$172)</f>
        <v>1.05</v>
      </c>
      <c r="V201" s="148" t="n">
        <f aca="false">IF(Assumptions!V$191=2026,1,1+Assumptions!$F$172)</f>
        <v>1.05</v>
      </c>
      <c r="W201" s="148" t="n">
        <f aca="false">IF(Assumptions!W$191=2026,1,1+Assumptions!$F$172)</f>
        <v>1.05</v>
      </c>
      <c r="X201" s="148" t="n">
        <f aca="false">IF(Assumptions!X$191=2026,1,1+Assumptions!$F$172)</f>
        <v>1.05</v>
      </c>
      <c r="Y201" s="148" t="n">
        <f aca="false">IF(Assumptions!Y$191=2026,1,1+Assumptions!$F$172)</f>
        <v>1.05</v>
      </c>
      <c r="Z201" s="148" t="n">
        <f aca="false">IF(Assumptions!Z$191=2026,1,1+Assumptions!$F$172)</f>
        <v>1.05</v>
      </c>
      <c r="AA201" s="148" t="n">
        <f aca="false">IF(Assumptions!AA$191=2026,1,1+Assumptions!$F$172)</f>
        <v>1.05</v>
      </c>
      <c r="AB201" s="148" t="n">
        <f aca="false">IF(Assumptions!AB$191=2026,1,1+Assumptions!$F$172)</f>
        <v>1.05</v>
      </c>
    </row>
    <row r="202" customFormat="false" ht="15" hidden="false" customHeight="false" outlineLevel="0" collapsed="false">
      <c r="A202" s="28" t="s">
        <v>1820</v>
      </c>
      <c r="E202" s="151" t="n">
        <f aca="false">IF(Assumptions!E$191=2026,Assumptions!$C$56,Assumptions!$C$57)</f>
        <v>5101.2</v>
      </c>
      <c r="F202" s="151" t="n">
        <f aca="false">IF(Assumptions!F$191=2026,Assumptions!$C$56,Assumptions!$C$57)</f>
        <v>5101.2</v>
      </c>
      <c r="G202" s="151" t="n">
        <f aca="false">IF(Assumptions!G$191=2026,Assumptions!$C$56,Assumptions!$C$57)</f>
        <v>5101.2</v>
      </c>
      <c r="H202" s="151" t="n">
        <f aca="false">IF(Assumptions!H$191=2026,Assumptions!$C$56,Assumptions!$C$57)</f>
        <v>5101.2</v>
      </c>
      <c r="I202" s="151" t="n">
        <f aca="false">IF(Assumptions!I$191=2026,Assumptions!$C$56,Assumptions!$C$57)</f>
        <v>5101.2</v>
      </c>
      <c r="J202" s="151" t="n">
        <f aca="false">IF(Assumptions!J$191=2026,Assumptions!$C$56,Assumptions!$C$57)</f>
        <v>5101.2</v>
      </c>
      <c r="K202" s="151" t="n">
        <f aca="false">IF(Assumptions!K$191=2026,Assumptions!$C$56,Assumptions!$C$57)</f>
        <v>5101.2</v>
      </c>
      <c r="L202" s="151" t="n">
        <f aca="false">IF(Assumptions!L$191=2026,Assumptions!$C$56,Assumptions!$C$57)</f>
        <v>5101.2</v>
      </c>
      <c r="M202" s="151" t="n">
        <f aca="false">IF(Assumptions!M$191=2026,Assumptions!$C$56,Assumptions!$C$57)</f>
        <v>5101.2</v>
      </c>
      <c r="N202" s="151" t="n">
        <f aca="false">IF(Assumptions!N$191=2026,Assumptions!$C$56,Assumptions!$C$57)</f>
        <v>5101.2</v>
      </c>
      <c r="O202" s="151" t="n">
        <f aca="false">IF(Assumptions!O$191=2026,Assumptions!$C$56,Assumptions!$C$57)</f>
        <v>5101.2</v>
      </c>
      <c r="P202" s="151" t="n">
        <f aca="false">IF(Assumptions!P$191=2026,Assumptions!$C$56,Assumptions!$C$57)</f>
        <v>5101.2</v>
      </c>
      <c r="Q202" s="151" t="n">
        <f aca="false">IF(Assumptions!Q$191=2026,Assumptions!$C$56,Assumptions!$C$57)</f>
        <v>5290</v>
      </c>
      <c r="R202" s="151" t="n">
        <f aca="false">IF(Assumptions!R$191=2026,Assumptions!$C$56,Assumptions!$C$57)</f>
        <v>5290</v>
      </c>
      <c r="S202" s="151" t="n">
        <f aca="false">IF(Assumptions!S$191=2026,Assumptions!$C$56,Assumptions!$C$57)</f>
        <v>5290</v>
      </c>
      <c r="T202" s="151" t="n">
        <f aca="false">IF(Assumptions!T$191=2026,Assumptions!$C$56,Assumptions!$C$57)</f>
        <v>5290</v>
      </c>
      <c r="U202" s="151" t="n">
        <f aca="false">IF(Assumptions!U$191=2026,Assumptions!$C$56,Assumptions!$C$57)</f>
        <v>5290</v>
      </c>
      <c r="V202" s="151" t="n">
        <f aca="false">IF(Assumptions!V$191=2026,Assumptions!$C$56,Assumptions!$C$57)</f>
        <v>5290</v>
      </c>
      <c r="W202" s="151" t="n">
        <f aca="false">IF(Assumptions!W$191=2026,Assumptions!$C$56,Assumptions!$C$57)</f>
        <v>5290</v>
      </c>
      <c r="X202" s="151" t="n">
        <f aca="false">IF(Assumptions!X$191=2026,Assumptions!$C$56,Assumptions!$C$57)</f>
        <v>5290</v>
      </c>
      <c r="Y202" s="151" t="n">
        <f aca="false">IF(Assumptions!Y$191=2026,Assumptions!$C$56,Assumptions!$C$57)</f>
        <v>5290</v>
      </c>
      <c r="Z202" s="151" t="n">
        <f aca="false">IF(Assumptions!Z$191=2026,Assumptions!$C$56,Assumptions!$C$57)</f>
        <v>5290</v>
      </c>
      <c r="AA202" s="151" t="n">
        <f aca="false">IF(Assumptions!AA$191=2026,Assumptions!$C$56,Assumptions!$C$57)</f>
        <v>5290</v>
      </c>
      <c r="AB202" s="151" t="n">
        <f aca="false">IF(Assumptions!AB$191=2026,Assumptions!$C$56,Assumptions!$C$57)</f>
        <v>5290</v>
      </c>
    </row>
    <row r="203" customFormat="false" ht="15" hidden="false" customHeight="false" outlineLevel="0" collapsed="false">
      <c r="A203" s="28" t="s">
        <v>1821</v>
      </c>
      <c r="E203" s="152" t="n">
        <f aca="false">IF(Assumptions!E$191=2026,Assumptions!$C$52,Assumptions!$C$53)</f>
        <v>0.3215</v>
      </c>
      <c r="F203" s="152" t="n">
        <f aca="false">IF(Assumptions!F$191=2026,Assumptions!$C$52,Assumptions!$C$53)</f>
        <v>0.3215</v>
      </c>
      <c r="G203" s="152" t="n">
        <f aca="false">IF(Assumptions!G$191=2026,Assumptions!$C$52,Assumptions!$C$53)</f>
        <v>0.3215</v>
      </c>
      <c r="H203" s="152" t="n">
        <f aca="false">IF(Assumptions!H$191=2026,Assumptions!$C$52,Assumptions!$C$53)</f>
        <v>0.3215</v>
      </c>
      <c r="I203" s="152" t="n">
        <f aca="false">IF(Assumptions!I$191=2026,Assumptions!$C$52,Assumptions!$C$53)</f>
        <v>0.3215</v>
      </c>
      <c r="J203" s="152" t="n">
        <f aca="false">IF(Assumptions!J$191=2026,Assumptions!$C$52,Assumptions!$C$53)</f>
        <v>0.3215</v>
      </c>
      <c r="K203" s="152" t="n">
        <f aca="false">IF(Assumptions!K$191=2026,Assumptions!$C$52,Assumptions!$C$53)</f>
        <v>0.3215</v>
      </c>
      <c r="L203" s="152" t="n">
        <f aca="false">IF(Assumptions!L$191=2026,Assumptions!$C$52,Assumptions!$C$53)</f>
        <v>0.3215</v>
      </c>
      <c r="M203" s="152" t="n">
        <f aca="false">IF(Assumptions!M$191=2026,Assumptions!$C$52,Assumptions!$C$53)</f>
        <v>0.3215</v>
      </c>
      <c r="N203" s="152" t="n">
        <f aca="false">IF(Assumptions!N$191=2026,Assumptions!$C$52,Assumptions!$C$53)</f>
        <v>0.3215</v>
      </c>
      <c r="O203" s="152" t="n">
        <f aca="false">IF(Assumptions!O$191=2026,Assumptions!$C$52,Assumptions!$C$53)</f>
        <v>0.3215</v>
      </c>
      <c r="P203" s="152" t="n">
        <f aca="false">IF(Assumptions!P$191=2026,Assumptions!$C$52,Assumptions!$C$53)</f>
        <v>0.3215</v>
      </c>
      <c r="Q203" s="152" t="n">
        <f aca="false">IF(Assumptions!Q$191=2026,Assumptions!$C$52,Assumptions!$C$53)</f>
        <v>0.3223</v>
      </c>
      <c r="R203" s="152" t="n">
        <f aca="false">IF(Assumptions!R$191=2026,Assumptions!$C$52,Assumptions!$C$53)</f>
        <v>0.3223</v>
      </c>
      <c r="S203" s="152" t="n">
        <f aca="false">IF(Assumptions!S$191=2026,Assumptions!$C$52,Assumptions!$C$53)</f>
        <v>0.3223</v>
      </c>
      <c r="T203" s="152" t="n">
        <f aca="false">IF(Assumptions!T$191=2026,Assumptions!$C$52,Assumptions!$C$53)</f>
        <v>0.3223</v>
      </c>
      <c r="U203" s="152" t="n">
        <f aca="false">IF(Assumptions!U$191=2026,Assumptions!$C$52,Assumptions!$C$53)</f>
        <v>0.3223</v>
      </c>
      <c r="V203" s="152" t="n">
        <f aca="false">IF(Assumptions!V$191=2026,Assumptions!$C$52,Assumptions!$C$53)</f>
        <v>0.3223</v>
      </c>
      <c r="W203" s="152" t="n">
        <f aca="false">IF(Assumptions!W$191=2026,Assumptions!$C$52,Assumptions!$C$53)</f>
        <v>0.3223</v>
      </c>
      <c r="X203" s="152" t="n">
        <f aca="false">IF(Assumptions!X$191=2026,Assumptions!$C$52,Assumptions!$C$53)</f>
        <v>0.3223</v>
      </c>
      <c r="Y203" s="152" t="n">
        <f aca="false">IF(Assumptions!Y$191=2026,Assumptions!$C$52,Assumptions!$C$53)</f>
        <v>0.3223</v>
      </c>
      <c r="Z203" s="152" t="n">
        <f aca="false">IF(Assumptions!Z$191=2026,Assumptions!$C$52,Assumptions!$C$53)</f>
        <v>0.3223</v>
      </c>
      <c r="AA203" s="152" t="n">
        <f aca="false">IF(Assumptions!AA$191=2026,Assumptions!$C$52,Assumptions!$C$53)</f>
        <v>0.3223</v>
      </c>
      <c r="AB203" s="152" t="n">
        <f aca="false">IF(Assumptions!AB$191=2026,Assumptions!$C$52,Assumptions!$C$53)</f>
        <v>0.3223</v>
      </c>
    </row>
    <row r="204" customFormat="false" ht="15" hidden="false" customHeight="false" outlineLevel="0" collapsed="false">
      <c r="A204" s="28" t="s">
        <v>1822</v>
      </c>
      <c r="E204" s="152" t="n">
        <f aca="false">IF(Assumptions!E$191=2026,Assumptions!$C$54,Assumptions!$C$55)</f>
        <v>0.065</v>
      </c>
      <c r="F204" s="152" t="n">
        <f aca="false">IF(Assumptions!F$191=2026,Assumptions!$C$54,Assumptions!$C$55)</f>
        <v>0.065</v>
      </c>
      <c r="G204" s="152" t="n">
        <f aca="false">IF(Assumptions!G$191=2026,Assumptions!$C$54,Assumptions!$C$55)</f>
        <v>0.065</v>
      </c>
      <c r="H204" s="152" t="n">
        <f aca="false">IF(Assumptions!H$191=2026,Assumptions!$C$54,Assumptions!$C$55)</f>
        <v>0.065</v>
      </c>
      <c r="I204" s="152" t="n">
        <f aca="false">IF(Assumptions!I$191=2026,Assumptions!$C$54,Assumptions!$C$55)</f>
        <v>0.065</v>
      </c>
      <c r="J204" s="152" t="n">
        <f aca="false">IF(Assumptions!J$191=2026,Assumptions!$C$54,Assumptions!$C$55)</f>
        <v>0.065</v>
      </c>
      <c r="K204" s="152" t="n">
        <f aca="false">IF(Assumptions!K$191=2026,Assumptions!$C$54,Assumptions!$C$55)</f>
        <v>0.065</v>
      </c>
      <c r="L204" s="152" t="n">
        <f aca="false">IF(Assumptions!L$191=2026,Assumptions!$C$54,Assumptions!$C$55)</f>
        <v>0.065</v>
      </c>
      <c r="M204" s="152" t="n">
        <f aca="false">IF(Assumptions!M$191=2026,Assumptions!$C$54,Assumptions!$C$55)</f>
        <v>0.065</v>
      </c>
      <c r="N204" s="152" t="n">
        <f aca="false">IF(Assumptions!N$191=2026,Assumptions!$C$54,Assumptions!$C$55)</f>
        <v>0.065</v>
      </c>
      <c r="O204" s="152" t="n">
        <f aca="false">IF(Assumptions!O$191=2026,Assumptions!$C$54,Assumptions!$C$55)</f>
        <v>0.065</v>
      </c>
      <c r="P204" s="152" t="n">
        <f aca="false">IF(Assumptions!P$191=2026,Assumptions!$C$54,Assumptions!$C$55)</f>
        <v>0.065</v>
      </c>
      <c r="Q204" s="152" t="n">
        <f aca="false">IF(Assumptions!Q$191=2026,Assumptions!$C$54,Assumptions!$C$55)</f>
        <v>0.0652</v>
      </c>
      <c r="R204" s="152" t="n">
        <f aca="false">IF(Assumptions!R$191=2026,Assumptions!$C$54,Assumptions!$C$55)</f>
        <v>0.0652</v>
      </c>
      <c r="S204" s="152" t="n">
        <f aca="false">IF(Assumptions!S$191=2026,Assumptions!$C$54,Assumptions!$C$55)</f>
        <v>0.0652</v>
      </c>
      <c r="T204" s="152" t="n">
        <f aca="false">IF(Assumptions!T$191=2026,Assumptions!$C$54,Assumptions!$C$55)</f>
        <v>0.0652</v>
      </c>
      <c r="U204" s="152" t="n">
        <f aca="false">IF(Assumptions!U$191=2026,Assumptions!$C$54,Assumptions!$C$55)</f>
        <v>0.0652</v>
      </c>
      <c r="V204" s="152" t="n">
        <f aca="false">IF(Assumptions!V$191=2026,Assumptions!$C$54,Assumptions!$C$55)</f>
        <v>0.0652</v>
      </c>
      <c r="W204" s="152" t="n">
        <f aca="false">IF(Assumptions!W$191=2026,Assumptions!$C$54,Assumptions!$C$55)</f>
        <v>0.0652</v>
      </c>
      <c r="X204" s="152" t="n">
        <f aca="false">IF(Assumptions!X$191=2026,Assumptions!$C$54,Assumptions!$C$55)</f>
        <v>0.0652</v>
      </c>
      <c r="Y204" s="152" t="n">
        <f aca="false">IF(Assumptions!Y$191=2026,Assumptions!$C$54,Assumptions!$C$55)</f>
        <v>0.0652</v>
      </c>
      <c r="Z204" s="152" t="n">
        <f aca="false">IF(Assumptions!Z$191=2026,Assumptions!$C$54,Assumptions!$C$55)</f>
        <v>0.0652</v>
      </c>
      <c r="AA204" s="152" t="n">
        <f aca="false">IF(Assumptions!AA$191=2026,Assumptions!$C$54,Assumptions!$C$55)</f>
        <v>0.0652</v>
      </c>
      <c r="AB204" s="152" t="n">
        <f aca="false">IF(Assumptions!AB$191=2026,Assumptions!$C$54,Assumptions!$C$55)</f>
        <v>0.0652</v>
      </c>
    </row>
    <row r="205" customFormat="false" ht="15" hidden="false" customHeight="false" outlineLevel="0" collapsed="false">
      <c r="A205" s="28" t="s">
        <v>1823</v>
      </c>
      <c r="E205" s="152" t="n">
        <f aca="false">IF(Assumptions!E$191=2026,Assumptions!$C$58,Assumptions!$C$64)</f>
        <v>0.0096</v>
      </c>
      <c r="F205" s="152" t="n">
        <f aca="false">IF(Assumptions!F$191=2026,Assumptions!$C$58,Assumptions!$C$64)</f>
        <v>0.0096</v>
      </c>
      <c r="G205" s="152" t="n">
        <f aca="false">IF(Assumptions!G$191=2026,Assumptions!$C$58,Assumptions!$C$64)</f>
        <v>0.0096</v>
      </c>
      <c r="H205" s="152" t="n">
        <f aca="false">IF(Assumptions!H$191=2026,Assumptions!$C$58,Assumptions!$C$64)</f>
        <v>0.0096</v>
      </c>
      <c r="I205" s="152" t="n">
        <f aca="false">IF(Assumptions!I$191=2026,Assumptions!$C$58,Assumptions!$C$64)</f>
        <v>0.0096</v>
      </c>
      <c r="J205" s="152" t="n">
        <f aca="false">IF(Assumptions!J$191=2026,Assumptions!$C$58,Assumptions!$C$64)</f>
        <v>0.0096</v>
      </c>
      <c r="K205" s="152" t="n">
        <f aca="false">IF(Assumptions!K$191=2026,Assumptions!$C$58,Assumptions!$C$64)</f>
        <v>0.0096</v>
      </c>
      <c r="L205" s="152" t="n">
        <f aca="false">IF(Assumptions!L$191=2026,Assumptions!$C$58,Assumptions!$C$64)</f>
        <v>0.0096</v>
      </c>
      <c r="M205" s="152" t="n">
        <f aca="false">IF(Assumptions!M$191=2026,Assumptions!$C$58,Assumptions!$C$64)</f>
        <v>0.0096</v>
      </c>
      <c r="N205" s="152" t="n">
        <f aca="false">IF(Assumptions!N$191=2026,Assumptions!$C$58,Assumptions!$C$64)</f>
        <v>0.0096</v>
      </c>
      <c r="O205" s="152" t="n">
        <f aca="false">IF(Assumptions!O$191=2026,Assumptions!$C$58,Assumptions!$C$64)</f>
        <v>0.0096</v>
      </c>
      <c r="P205" s="152" t="n">
        <f aca="false">IF(Assumptions!P$191=2026,Assumptions!$C$58,Assumptions!$C$64)</f>
        <v>0.0096</v>
      </c>
      <c r="Q205" s="152" t="n">
        <f aca="false">IF(Assumptions!Q$191=2026,Assumptions!$C$58,Assumptions!$C$64)</f>
        <v>0.0115</v>
      </c>
      <c r="R205" s="152" t="n">
        <f aca="false">IF(Assumptions!R$191=2026,Assumptions!$C$58,Assumptions!$C$64)</f>
        <v>0.0115</v>
      </c>
      <c r="S205" s="152" t="n">
        <f aca="false">IF(Assumptions!S$191=2026,Assumptions!$C$58,Assumptions!$C$64)</f>
        <v>0.0115</v>
      </c>
      <c r="T205" s="152" t="n">
        <f aca="false">IF(Assumptions!T$191=2026,Assumptions!$C$58,Assumptions!$C$64)</f>
        <v>0.0115</v>
      </c>
      <c r="U205" s="152" t="n">
        <f aca="false">IF(Assumptions!U$191=2026,Assumptions!$C$58,Assumptions!$C$64)</f>
        <v>0.0115</v>
      </c>
      <c r="V205" s="152" t="n">
        <f aca="false">IF(Assumptions!V$191=2026,Assumptions!$C$58,Assumptions!$C$64)</f>
        <v>0.0115</v>
      </c>
      <c r="W205" s="152" t="n">
        <f aca="false">IF(Assumptions!W$191=2026,Assumptions!$C$58,Assumptions!$C$64)</f>
        <v>0.0115</v>
      </c>
      <c r="X205" s="152" t="n">
        <f aca="false">IF(Assumptions!X$191=2026,Assumptions!$C$58,Assumptions!$C$64)</f>
        <v>0.0115</v>
      </c>
      <c r="Y205" s="152" t="n">
        <f aca="false">IF(Assumptions!Y$191=2026,Assumptions!$C$58,Assumptions!$C$64)</f>
        <v>0.0115</v>
      </c>
      <c r="Z205" s="152" t="n">
        <f aca="false">IF(Assumptions!Z$191=2026,Assumptions!$C$58,Assumptions!$C$64)</f>
        <v>0.0115</v>
      </c>
      <c r="AA205" s="152" t="n">
        <f aca="false">IF(Assumptions!AA$191=2026,Assumptions!$C$58,Assumptions!$C$64)</f>
        <v>0.0115</v>
      </c>
      <c r="AB205" s="152" t="n">
        <f aca="false">IF(Assumptions!AB$191=2026,Assumptions!$C$58,Assumptions!$C$64)</f>
        <v>0.0115</v>
      </c>
    </row>
    <row r="206" customFormat="false" ht="15" hidden="false" customHeight="false" outlineLevel="0" collapsed="false">
      <c r="A206" s="28" t="s">
        <v>1824</v>
      </c>
      <c r="E206" s="152" t="n">
        <f aca="false">IF(Assumptions!E$191=2026,Assumptions!$C$61,Assumptions!$C$67)</f>
        <v>0.0019</v>
      </c>
      <c r="F206" s="152" t="n">
        <f aca="false">IF(Assumptions!F$191=2026,Assumptions!$C$61,Assumptions!$C$67)</f>
        <v>0.0019</v>
      </c>
      <c r="G206" s="152" t="n">
        <f aca="false">IF(Assumptions!G$191=2026,Assumptions!$C$61,Assumptions!$C$67)</f>
        <v>0.0019</v>
      </c>
      <c r="H206" s="152" t="n">
        <f aca="false">IF(Assumptions!H$191=2026,Assumptions!$C$61,Assumptions!$C$67)</f>
        <v>0.0019</v>
      </c>
      <c r="I206" s="152" t="n">
        <f aca="false">IF(Assumptions!I$191=2026,Assumptions!$C$61,Assumptions!$C$67)</f>
        <v>0.0019</v>
      </c>
      <c r="J206" s="152" t="n">
        <f aca="false">IF(Assumptions!J$191=2026,Assumptions!$C$61,Assumptions!$C$67)</f>
        <v>0.0019</v>
      </c>
      <c r="K206" s="152" t="n">
        <f aca="false">IF(Assumptions!K$191=2026,Assumptions!$C$61,Assumptions!$C$67)</f>
        <v>0.0019</v>
      </c>
      <c r="L206" s="152" t="n">
        <f aca="false">IF(Assumptions!L$191=2026,Assumptions!$C$61,Assumptions!$C$67)</f>
        <v>0.0019</v>
      </c>
      <c r="M206" s="152" t="n">
        <f aca="false">IF(Assumptions!M$191=2026,Assumptions!$C$61,Assumptions!$C$67)</f>
        <v>0.0019</v>
      </c>
      <c r="N206" s="152" t="n">
        <f aca="false">IF(Assumptions!N$191=2026,Assumptions!$C$61,Assumptions!$C$67)</f>
        <v>0.0019</v>
      </c>
      <c r="O206" s="152" t="n">
        <f aca="false">IF(Assumptions!O$191=2026,Assumptions!$C$61,Assumptions!$C$67)</f>
        <v>0.0019</v>
      </c>
      <c r="P206" s="152" t="n">
        <f aca="false">IF(Assumptions!P$191=2026,Assumptions!$C$61,Assumptions!$C$67)</f>
        <v>0.0019</v>
      </c>
      <c r="Q206" s="152" t="n">
        <f aca="false">IF(Assumptions!Q$191=2026,Assumptions!$C$61,Assumptions!$C$67)</f>
        <v>0.0023</v>
      </c>
      <c r="R206" s="152" t="n">
        <f aca="false">IF(Assumptions!R$191=2026,Assumptions!$C$61,Assumptions!$C$67)</f>
        <v>0.0023</v>
      </c>
      <c r="S206" s="152" t="n">
        <f aca="false">IF(Assumptions!S$191=2026,Assumptions!$C$61,Assumptions!$C$67)</f>
        <v>0.0023</v>
      </c>
      <c r="T206" s="152" t="n">
        <f aca="false">IF(Assumptions!T$191=2026,Assumptions!$C$61,Assumptions!$C$67)</f>
        <v>0.0023</v>
      </c>
      <c r="U206" s="152" t="n">
        <f aca="false">IF(Assumptions!U$191=2026,Assumptions!$C$61,Assumptions!$C$67)</f>
        <v>0.0023</v>
      </c>
      <c r="V206" s="152" t="n">
        <f aca="false">IF(Assumptions!V$191=2026,Assumptions!$C$61,Assumptions!$C$67)</f>
        <v>0.0023</v>
      </c>
      <c r="W206" s="152" t="n">
        <f aca="false">IF(Assumptions!W$191=2026,Assumptions!$C$61,Assumptions!$C$67)</f>
        <v>0.0023</v>
      </c>
      <c r="X206" s="152" t="n">
        <f aca="false">IF(Assumptions!X$191=2026,Assumptions!$C$61,Assumptions!$C$67)</f>
        <v>0.0023</v>
      </c>
      <c r="Y206" s="152" t="n">
        <f aca="false">IF(Assumptions!Y$191=2026,Assumptions!$C$61,Assumptions!$C$67)</f>
        <v>0.0023</v>
      </c>
      <c r="Z206" s="152" t="n">
        <f aca="false">IF(Assumptions!Z$191=2026,Assumptions!$C$61,Assumptions!$C$67)</f>
        <v>0.0023</v>
      </c>
      <c r="AA206" s="152" t="n">
        <f aca="false">IF(Assumptions!AA$191=2026,Assumptions!$C$61,Assumptions!$C$67)</f>
        <v>0.0023</v>
      </c>
      <c r="AB206" s="152" t="n">
        <f aca="false">IF(Assumptions!AB$191=2026,Assumptions!$C$61,Assumptions!$C$67)</f>
        <v>0.0023</v>
      </c>
    </row>
    <row r="207" customFormat="false" ht="15" hidden="false" customHeight="false" outlineLevel="0" collapsed="false">
      <c r="A207" s="28" t="s">
        <v>1825</v>
      </c>
      <c r="E207" s="152" t="n">
        <f aca="false">IF(Assumptions!E$191=2026,Assumptions!$C$59,Assumptions!$C$65)</f>
        <v>0.0104</v>
      </c>
      <c r="F207" s="152" t="n">
        <f aca="false">IF(Assumptions!F$191=2026,Assumptions!$C$59,Assumptions!$C$65)</f>
        <v>0.0104</v>
      </c>
      <c r="G207" s="152" t="n">
        <f aca="false">IF(Assumptions!G$191=2026,Assumptions!$C$59,Assumptions!$C$65)</f>
        <v>0.0104</v>
      </c>
      <c r="H207" s="152" t="n">
        <f aca="false">IF(Assumptions!H$191=2026,Assumptions!$C$59,Assumptions!$C$65)</f>
        <v>0.0104</v>
      </c>
      <c r="I207" s="152" t="n">
        <f aca="false">IF(Assumptions!I$191=2026,Assumptions!$C$59,Assumptions!$C$65)</f>
        <v>0.0104</v>
      </c>
      <c r="J207" s="152" t="n">
        <f aca="false">IF(Assumptions!J$191=2026,Assumptions!$C$59,Assumptions!$C$65)</f>
        <v>0.0104</v>
      </c>
      <c r="K207" s="152" t="n">
        <f aca="false">IF(Assumptions!K$191=2026,Assumptions!$C$59,Assumptions!$C$65)</f>
        <v>0.0104</v>
      </c>
      <c r="L207" s="152" t="n">
        <f aca="false">IF(Assumptions!L$191=2026,Assumptions!$C$59,Assumptions!$C$65)</f>
        <v>0.0104</v>
      </c>
      <c r="M207" s="152" t="n">
        <f aca="false">IF(Assumptions!M$191=2026,Assumptions!$C$59,Assumptions!$C$65)</f>
        <v>0.0104</v>
      </c>
      <c r="N207" s="152" t="n">
        <f aca="false">IF(Assumptions!N$191=2026,Assumptions!$C$59,Assumptions!$C$65)</f>
        <v>0.0104</v>
      </c>
      <c r="O207" s="152" t="n">
        <f aca="false">IF(Assumptions!O$191=2026,Assumptions!$C$59,Assumptions!$C$65)</f>
        <v>0.0104</v>
      </c>
      <c r="P207" s="152" t="n">
        <f aca="false">IF(Assumptions!P$191=2026,Assumptions!$C$59,Assumptions!$C$65)</f>
        <v>0.0104</v>
      </c>
      <c r="Q207" s="152" t="n">
        <f aca="false">IF(Assumptions!Q$191=2026,Assumptions!$C$59,Assumptions!$C$65)</f>
        <v>0.0125</v>
      </c>
      <c r="R207" s="152" t="n">
        <f aca="false">IF(Assumptions!R$191=2026,Assumptions!$C$59,Assumptions!$C$65)</f>
        <v>0.0125</v>
      </c>
      <c r="S207" s="152" t="n">
        <f aca="false">IF(Assumptions!S$191=2026,Assumptions!$C$59,Assumptions!$C$65)</f>
        <v>0.0125</v>
      </c>
      <c r="T207" s="152" t="n">
        <f aca="false">IF(Assumptions!T$191=2026,Assumptions!$C$59,Assumptions!$C$65)</f>
        <v>0.0125</v>
      </c>
      <c r="U207" s="152" t="n">
        <f aca="false">IF(Assumptions!U$191=2026,Assumptions!$C$59,Assumptions!$C$65)</f>
        <v>0.0125</v>
      </c>
      <c r="V207" s="152" t="n">
        <f aca="false">IF(Assumptions!V$191=2026,Assumptions!$C$59,Assumptions!$C$65)</f>
        <v>0.0125</v>
      </c>
      <c r="W207" s="152" t="n">
        <f aca="false">IF(Assumptions!W$191=2026,Assumptions!$C$59,Assumptions!$C$65)</f>
        <v>0.0125</v>
      </c>
      <c r="X207" s="152" t="n">
        <f aca="false">IF(Assumptions!X$191=2026,Assumptions!$C$59,Assumptions!$C$65)</f>
        <v>0.0125</v>
      </c>
      <c r="Y207" s="152" t="n">
        <f aca="false">IF(Assumptions!Y$191=2026,Assumptions!$C$59,Assumptions!$C$65)</f>
        <v>0.0125</v>
      </c>
      <c r="Z207" s="152" t="n">
        <f aca="false">IF(Assumptions!Z$191=2026,Assumptions!$C$59,Assumptions!$C$65)</f>
        <v>0.0125</v>
      </c>
      <c r="AA207" s="152" t="n">
        <f aca="false">IF(Assumptions!AA$191=2026,Assumptions!$C$59,Assumptions!$C$65)</f>
        <v>0.0125</v>
      </c>
      <c r="AB207" s="152" t="n">
        <f aca="false">IF(Assumptions!AB$191=2026,Assumptions!$C$59,Assumptions!$C$65)</f>
        <v>0.0125</v>
      </c>
    </row>
    <row r="208" customFormat="false" ht="15" hidden="false" customHeight="false" outlineLevel="0" collapsed="false">
      <c r="A208" s="28" t="s">
        <v>1826</v>
      </c>
      <c r="E208" s="152" t="n">
        <f aca="false">IF(Assumptions!E$191=2026,Assumptions!$C$62,Assumptions!$C$68)</f>
        <v>0.0021</v>
      </c>
      <c r="F208" s="152" t="n">
        <f aca="false">IF(Assumptions!F$191=2026,Assumptions!$C$62,Assumptions!$C$68)</f>
        <v>0.0021</v>
      </c>
      <c r="G208" s="152" t="n">
        <f aca="false">IF(Assumptions!G$191=2026,Assumptions!$C$62,Assumptions!$C$68)</f>
        <v>0.0021</v>
      </c>
      <c r="H208" s="152" t="n">
        <f aca="false">IF(Assumptions!H$191=2026,Assumptions!$C$62,Assumptions!$C$68)</f>
        <v>0.0021</v>
      </c>
      <c r="I208" s="152" t="n">
        <f aca="false">IF(Assumptions!I$191=2026,Assumptions!$C$62,Assumptions!$C$68)</f>
        <v>0.0021</v>
      </c>
      <c r="J208" s="152" t="n">
        <f aca="false">IF(Assumptions!J$191=2026,Assumptions!$C$62,Assumptions!$C$68)</f>
        <v>0.0021</v>
      </c>
      <c r="K208" s="152" t="n">
        <f aca="false">IF(Assumptions!K$191=2026,Assumptions!$C$62,Assumptions!$C$68)</f>
        <v>0.0021</v>
      </c>
      <c r="L208" s="152" t="n">
        <f aca="false">IF(Assumptions!L$191=2026,Assumptions!$C$62,Assumptions!$C$68)</f>
        <v>0.0021</v>
      </c>
      <c r="M208" s="152" t="n">
        <f aca="false">IF(Assumptions!M$191=2026,Assumptions!$C$62,Assumptions!$C$68)</f>
        <v>0.0021</v>
      </c>
      <c r="N208" s="152" t="n">
        <f aca="false">IF(Assumptions!N$191=2026,Assumptions!$C$62,Assumptions!$C$68)</f>
        <v>0.0021</v>
      </c>
      <c r="O208" s="152" t="n">
        <f aca="false">IF(Assumptions!O$191=2026,Assumptions!$C$62,Assumptions!$C$68)</f>
        <v>0.0021</v>
      </c>
      <c r="P208" s="152" t="n">
        <f aca="false">IF(Assumptions!P$191=2026,Assumptions!$C$62,Assumptions!$C$68)</f>
        <v>0.0021</v>
      </c>
      <c r="Q208" s="152" t="n">
        <f aca="false">IF(Assumptions!Q$191=2026,Assumptions!$C$62,Assumptions!$C$68)</f>
        <v>0.0025</v>
      </c>
      <c r="R208" s="152" t="n">
        <f aca="false">IF(Assumptions!R$191=2026,Assumptions!$C$62,Assumptions!$C$68)</f>
        <v>0.0025</v>
      </c>
      <c r="S208" s="152" t="n">
        <f aca="false">IF(Assumptions!S$191=2026,Assumptions!$C$62,Assumptions!$C$68)</f>
        <v>0.0025</v>
      </c>
      <c r="T208" s="152" t="n">
        <f aca="false">IF(Assumptions!T$191=2026,Assumptions!$C$62,Assumptions!$C$68)</f>
        <v>0.0025</v>
      </c>
      <c r="U208" s="152" t="n">
        <f aca="false">IF(Assumptions!U$191=2026,Assumptions!$C$62,Assumptions!$C$68)</f>
        <v>0.0025</v>
      </c>
      <c r="V208" s="152" t="n">
        <f aca="false">IF(Assumptions!V$191=2026,Assumptions!$C$62,Assumptions!$C$68)</f>
        <v>0.0025</v>
      </c>
      <c r="W208" s="152" t="n">
        <f aca="false">IF(Assumptions!W$191=2026,Assumptions!$C$62,Assumptions!$C$68)</f>
        <v>0.0025</v>
      </c>
      <c r="X208" s="152" t="n">
        <f aca="false">IF(Assumptions!X$191=2026,Assumptions!$C$62,Assumptions!$C$68)</f>
        <v>0.0025</v>
      </c>
      <c r="Y208" s="152" t="n">
        <f aca="false">IF(Assumptions!Y$191=2026,Assumptions!$C$62,Assumptions!$C$68)</f>
        <v>0.0025</v>
      </c>
      <c r="Z208" s="152" t="n">
        <f aca="false">IF(Assumptions!Z$191=2026,Assumptions!$C$62,Assumptions!$C$68)</f>
        <v>0.0025</v>
      </c>
      <c r="AA208" s="152" t="n">
        <f aca="false">IF(Assumptions!AA$191=2026,Assumptions!$C$62,Assumptions!$C$68)</f>
        <v>0.0025</v>
      </c>
      <c r="AB208" s="152" t="n">
        <f aca="false">IF(Assumptions!AB$191=2026,Assumptions!$C$62,Assumptions!$C$68)</f>
        <v>0.0025</v>
      </c>
    </row>
    <row r="209" customFormat="false" ht="15" hidden="false" customHeight="false" outlineLevel="0" collapsed="false">
      <c r="A209" s="28" t="s">
        <v>1827</v>
      </c>
      <c r="E209" s="152" t="n">
        <f aca="false">IF(Assumptions!E$191=2026,Assumptions!$C$60,Assumptions!$C$66)</f>
        <v>0.0122</v>
      </c>
      <c r="F209" s="152" t="n">
        <f aca="false">IF(Assumptions!F$191=2026,Assumptions!$C$60,Assumptions!$C$66)</f>
        <v>0.0122</v>
      </c>
      <c r="G209" s="152" t="n">
        <f aca="false">IF(Assumptions!G$191=2026,Assumptions!$C$60,Assumptions!$C$66)</f>
        <v>0.0122</v>
      </c>
      <c r="H209" s="152" t="n">
        <f aca="false">IF(Assumptions!H$191=2026,Assumptions!$C$60,Assumptions!$C$66)</f>
        <v>0.0122</v>
      </c>
      <c r="I209" s="152" t="n">
        <f aca="false">IF(Assumptions!I$191=2026,Assumptions!$C$60,Assumptions!$C$66)</f>
        <v>0.0122</v>
      </c>
      <c r="J209" s="152" t="n">
        <f aca="false">IF(Assumptions!J$191=2026,Assumptions!$C$60,Assumptions!$C$66)</f>
        <v>0.0122</v>
      </c>
      <c r="K209" s="152" t="n">
        <f aca="false">IF(Assumptions!K$191=2026,Assumptions!$C$60,Assumptions!$C$66)</f>
        <v>0.0122</v>
      </c>
      <c r="L209" s="152" t="n">
        <f aca="false">IF(Assumptions!L$191=2026,Assumptions!$C$60,Assumptions!$C$66)</f>
        <v>0.0122</v>
      </c>
      <c r="M209" s="152" t="n">
        <f aca="false">IF(Assumptions!M$191=2026,Assumptions!$C$60,Assumptions!$C$66)</f>
        <v>0.0122</v>
      </c>
      <c r="N209" s="152" t="n">
        <f aca="false">IF(Assumptions!N$191=2026,Assumptions!$C$60,Assumptions!$C$66)</f>
        <v>0.0122</v>
      </c>
      <c r="O209" s="152" t="n">
        <f aca="false">IF(Assumptions!O$191=2026,Assumptions!$C$60,Assumptions!$C$66)</f>
        <v>0.0122</v>
      </c>
      <c r="P209" s="152" t="n">
        <f aca="false">IF(Assumptions!P$191=2026,Assumptions!$C$60,Assumptions!$C$66)</f>
        <v>0.0122</v>
      </c>
      <c r="Q209" s="152" t="n">
        <f aca="false">IF(Assumptions!Q$191=2026,Assumptions!$C$60,Assumptions!$C$66)</f>
        <v>0.0146</v>
      </c>
      <c r="R209" s="152" t="n">
        <f aca="false">IF(Assumptions!R$191=2026,Assumptions!$C$60,Assumptions!$C$66)</f>
        <v>0.0146</v>
      </c>
      <c r="S209" s="152" t="n">
        <f aca="false">IF(Assumptions!S$191=2026,Assumptions!$C$60,Assumptions!$C$66)</f>
        <v>0.0146</v>
      </c>
      <c r="T209" s="152" t="n">
        <f aca="false">IF(Assumptions!T$191=2026,Assumptions!$C$60,Assumptions!$C$66)</f>
        <v>0.0146</v>
      </c>
      <c r="U209" s="152" t="n">
        <f aca="false">IF(Assumptions!U$191=2026,Assumptions!$C$60,Assumptions!$C$66)</f>
        <v>0.0146</v>
      </c>
      <c r="V209" s="152" t="n">
        <f aca="false">IF(Assumptions!V$191=2026,Assumptions!$C$60,Assumptions!$C$66)</f>
        <v>0.0146</v>
      </c>
      <c r="W209" s="152" t="n">
        <f aca="false">IF(Assumptions!W$191=2026,Assumptions!$C$60,Assumptions!$C$66)</f>
        <v>0.0146</v>
      </c>
      <c r="X209" s="152" t="n">
        <f aca="false">IF(Assumptions!X$191=2026,Assumptions!$C$60,Assumptions!$C$66)</f>
        <v>0.0146</v>
      </c>
      <c r="Y209" s="152" t="n">
        <f aca="false">IF(Assumptions!Y$191=2026,Assumptions!$C$60,Assumptions!$C$66)</f>
        <v>0.0146</v>
      </c>
      <c r="Z209" s="152" t="n">
        <f aca="false">IF(Assumptions!Z$191=2026,Assumptions!$C$60,Assumptions!$C$66)</f>
        <v>0.0146</v>
      </c>
      <c r="AA209" s="152" t="n">
        <f aca="false">IF(Assumptions!AA$191=2026,Assumptions!$C$60,Assumptions!$C$66)</f>
        <v>0.0146</v>
      </c>
      <c r="AB209" s="152" t="n">
        <f aca="false">IF(Assumptions!AB$191=2026,Assumptions!$C$60,Assumptions!$C$66)</f>
        <v>0.0146</v>
      </c>
    </row>
    <row r="210" customFormat="false" ht="15" hidden="false" customHeight="false" outlineLevel="0" collapsed="false">
      <c r="A210" s="28" t="s">
        <v>1828</v>
      </c>
      <c r="E210" s="152" t="n">
        <f aca="false">IF(Assumptions!E$191=2026,Assumptions!$C$63,Assumptions!$C$69)</f>
        <v>0.0024</v>
      </c>
      <c r="F210" s="152" t="n">
        <f aca="false">IF(Assumptions!F$191=2026,Assumptions!$C$63,Assumptions!$C$69)</f>
        <v>0.0024</v>
      </c>
      <c r="G210" s="152" t="n">
        <f aca="false">IF(Assumptions!G$191=2026,Assumptions!$C$63,Assumptions!$C$69)</f>
        <v>0.0024</v>
      </c>
      <c r="H210" s="152" t="n">
        <f aca="false">IF(Assumptions!H$191=2026,Assumptions!$C$63,Assumptions!$C$69)</f>
        <v>0.0024</v>
      </c>
      <c r="I210" s="152" t="n">
        <f aca="false">IF(Assumptions!I$191=2026,Assumptions!$C$63,Assumptions!$C$69)</f>
        <v>0.0024</v>
      </c>
      <c r="J210" s="152" t="n">
        <f aca="false">IF(Assumptions!J$191=2026,Assumptions!$C$63,Assumptions!$C$69)</f>
        <v>0.0024</v>
      </c>
      <c r="K210" s="152" t="n">
        <f aca="false">IF(Assumptions!K$191=2026,Assumptions!$C$63,Assumptions!$C$69)</f>
        <v>0.0024</v>
      </c>
      <c r="L210" s="152" t="n">
        <f aca="false">IF(Assumptions!L$191=2026,Assumptions!$C$63,Assumptions!$C$69)</f>
        <v>0.0024</v>
      </c>
      <c r="M210" s="152" t="n">
        <f aca="false">IF(Assumptions!M$191=2026,Assumptions!$C$63,Assumptions!$C$69)</f>
        <v>0.0024</v>
      </c>
      <c r="N210" s="152" t="n">
        <f aca="false">IF(Assumptions!N$191=2026,Assumptions!$C$63,Assumptions!$C$69)</f>
        <v>0.0024</v>
      </c>
      <c r="O210" s="152" t="n">
        <f aca="false">IF(Assumptions!O$191=2026,Assumptions!$C$63,Assumptions!$C$69)</f>
        <v>0.0024</v>
      </c>
      <c r="P210" s="152" t="n">
        <f aca="false">IF(Assumptions!P$191=2026,Assumptions!$C$63,Assumptions!$C$69)</f>
        <v>0.0024</v>
      </c>
      <c r="Q210" s="152" t="n">
        <f aca="false">IF(Assumptions!Q$191=2026,Assumptions!$C$63,Assumptions!$C$69)</f>
        <v>0.0029</v>
      </c>
      <c r="R210" s="152" t="n">
        <f aca="false">IF(Assumptions!R$191=2026,Assumptions!$C$63,Assumptions!$C$69)</f>
        <v>0.0029</v>
      </c>
      <c r="S210" s="152" t="n">
        <f aca="false">IF(Assumptions!S$191=2026,Assumptions!$C$63,Assumptions!$C$69)</f>
        <v>0.0029</v>
      </c>
      <c r="T210" s="152" t="n">
        <f aca="false">IF(Assumptions!T$191=2026,Assumptions!$C$63,Assumptions!$C$69)</f>
        <v>0.0029</v>
      </c>
      <c r="U210" s="152" t="n">
        <f aca="false">IF(Assumptions!U$191=2026,Assumptions!$C$63,Assumptions!$C$69)</f>
        <v>0.0029</v>
      </c>
      <c r="V210" s="152" t="n">
        <f aca="false">IF(Assumptions!V$191=2026,Assumptions!$C$63,Assumptions!$C$69)</f>
        <v>0.0029</v>
      </c>
      <c r="W210" s="152" t="n">
        <f aca="false">IF(Assumptions!W$191=2026,Assumptions!$C$63,Assumptions!$C$69)</f>
        <v>0.0029</v>
      </c>
      <c r="X210" s="152" t="n">
        <f aca="false">IF(Assumptions!X$191=2026,Assumptions!$C$63,Assumptions!$C$69)</f>
        <v>0.0029</v>
      </c>
      <c r="Y210" s="152" t="n">
        <f aca="false">IF(Assumptions!Y$191=2026,Assumptions!$C$63,Assumptions!$C$69)</f>
        <v>0.0029</v>
      </c>
      <c r="Z210" s="152" t="n">
        <f aca="false">IF(Assumptions!Z$191=2026,Assumptions!$C$63,Assumptions!$C$69)</f>
        <v>0.0029</v>
      </c>
      <c r="AA210" s="152" t="n">
        <f aca="false">IF(Assumptions!AA$191=2026,Assumptions!$C$63,Assumptions!$C$69)</f>
        <v>0.0029</v>
      </c>
      <c r="AB210" s="152" t="n">
        <f aca="false">IF(Assumptions!AB$191=2026,Assumptions!$C$63,Assumptions!$C$69)</f>
        <v>0.0029</v>
      </c>
    </row>
    <row r="211" customFormat="false" ht="15" hidden="false" customHeight="false" outlineLevel="0" collapsed="false">
      <c r="A211" s="28" t="s">
        <v>1829</v>
      </c>
      <c r="E211" s="146" t="n">
        <f aca="false">IF(OR(Assumptions!E$192=6,Assumptions!E$192=12),1,0)</f>
        <v>0</v>
      </c>
      <c r="F211" s="146" t="n">
        <f aca="false">IF(OR(Assumptions!F$192=6,Assumptions!F$192=12),1,0)</f>
        <v>0</v>
      </c>
      <c r="G211" s="146" t="n">
        <f aca="false">IF(OR(Assumptions!G$192=6,Assumptions!G$192=12),1,0)</f>
        <v>0</v>
      </c>
      <c r="H211" s="146" t="n">
        <f aca="false">IF(OR(Assumptions!H$192=6,Assumptions!H$192=12),1,0)</f>
        <v>0</v>
      </c>
      <c r="I211" s="146" t="n">
        <f aca="false">IF(OR(Assumptions!I$192=6,Assumptions!I$192=12),1,0)</f>
        <v>0</v>
      </c>
      <c r="J211" s="146" t="n">
        <f aca="false">IF(OR(Assumptions!J$192=6,Assumptions!J$192=12),1,0)</f>
        <v>1</v>
      </c>
      <c r="K211" s="146" t="n">
        <f aca="false">IF(OR(Assumptions!K$192=6,Assumptions!K$192=12),1,0)</f>
        <v>0</v>
      </c>
      <c r="L211" s="146" t="n">
        <f aca="false">IF(OR(Assumptions!L$192=6,Assumptions!L$192=12),1,0)</f>
        <v>0</v>
      </c>
      <c r="M211" s="146" t="n">
        <f aca="false">IF(OR(Assumptions!M$192=6,Assumptions!M$192=12),1,0)</f>
        <v>0</v>
      </c>
      <c r="N211" s="146" t="n">
        <f aca="false">IF(OR(Assumptions!N$192=6,Assumptions!N$192=12),1,0)</f>
        <v>0</v>
      </c>
      <c r="O211" s="146" t="n">
        <f aca="false">IF(OR(Assumptions!O$192=6,Assumptions!O$192=12),1,0)</f>
        <v>0</v>
      </c>
      <c r="P211" s="146" t="n">
        <f aca="false">IF(OR(Assumptions!P$192=6,Assumptions!P$192=12),1,0)</f>
        <v>1</v>
      </c>
      <c r="Q211" s="146" t="n">
        <f aca="false">IF(OR(Assumptions!Q$192=6,Assumptions!Q$192=12),1,0)</f>
        <v>0</v>
      </c>
      <c r="R211" s="146" t="n">
        <f aca="false">IF(OR(Assumptions!R$192=6,Assumptions!R$192=12),1,0)</f>
        <v>0</v>
      </c>
      <c r="S211" s="146" t="n">
        <f aca="false">IF(OR(Assumptions!S$192=6,Assumptions!S$192=12),1,0)</f>
        <v>0</v>
      </c>
      <c r="T211" s="146" t="n">
        <f aca="false">IF(OR(Assumptions!T$192=6,Assumptions!T$192=12),1,0)</f>
        <v>0</v>
      </c>
      <c r="U211" s="146" t="n">
        <f aca="false">IF(OR(Assumptions!U$192=6,Assumptions!U$192=12),1,0)</f>
        <v>0</v>
      </c>
      <c r="V211" s="146" t="n">
        <f aca="false">IF(OR(Assumptions!V$192=6,Assumptions!V$192=12),1,0)</f>
        <v>1</v>
      </c>
      <c r="W211" s="146" t="n">
        <f aca="false">IF(OR(Assumptions!W$192=6,Assumptions!W$192=12),1,0)</f>
        <v>0</v>
      </c>
      <c r="X211" s="146" t="n">
        <f aca="false">IF(OR(Assumptions!X$192=6,Assumptions!X$192=12),1,0)</f>
        <v>0</v>
      </c>
      <c r="Y211" s="146" t="n">
        <f aca="false">IF(OR(Assumptions!Y$192=6,Assumptions!Y$192=12),1,0)</f>
        <v>0</v>
      </c>
      <c r="Z211" s="146" t="n">
        <f aca="false">IF(OR(Assumptions!Z$192=6,Assumptions!Z$192=12),1,0)</f>
        <v>0</v>
      </c>
      <c r="AA211" s="146" t="n">
        <f aca="false">IF(OR(Assumptions!AA$192=6,Assumptions!AA$192=12),1,0)</f>
        <v>0</v>
      </c>
      <c r="AB211" s="146" t="n">
        <f aca="false">IF(OR(Assumptions!AB$192=6,Assumptions!AB$192=12),1,0)</f>
        <v>1</v>
      </c>
    </row>
    <row r="212" customFormat="false" ht="15" hidden="false" customHeight="false" outlineLevel="0" collapsed="false">
      <c r="A212" s="28" t="s">
        <v>1830</v>
      </c>
      <c r="E212" s="146" t="n">
        <f aca="false">IF(MOD(Assumptions!E$192,3)=1,1,0)</f>
        <v>1</v>
      </c>
      <c r="F212" s="146" t="n">
        <f aca="false">IF(MOD(Assumptions!F$192,3)=1,1,0)</f>
        <v>0</v>
      </c>
      <c r="G212" s="146" t="n">
        <f aca="false">IF(MOD(Assumptions!G$192,3)=1,1,0)</f>
        <v>0</v>
      </c>
      <c r="H212" s="146" t="n">
        <f aca="false">IF(MOD(Assumptions!H$192,3)=1,1,0)</f>
        <v>1</v>
      </c>
      <c r="I212" s="146" t="n">
        <f aca="false">IF(MOD(Assumptions!I$192,3)=1,1,0)</f>
        <v>0</v>
      </c>
      <c r="J212" s="146" t="n">
        <f aca="false">IF(MOD(Assumptions!J$192,3)=1,1,0)</f>
        <v>0</v>
      </c>
      <c r="K212" s="146" t="n">
        <f aca="false">IF(MOD(Assumptions!K$192,3)=1,1,0)</f>
        <v>1</v>
      </c>
      <c r="L212" s="146" t="n">
        <f aca="false">IF(MOD(Assumptions!L$192,3)=1,1,0)</f>
        <v>0</v>
      </c>
      <c r="M212" s="146" t="n">
        <f aca="false">IF(MOD(Assumptions!M$192,3)=1,1,0)</f>
        <v>0</v>
      </c>
      <c r="N212" s="146" t="n">
        <f aca="false">IF(MOD(Assumptions!N$192,3)=1,1,0)</f>
        <v>1</v>
      </c>
      <c r="O212" s="146" t="n">
        <f aca="false">IF(MOD(Assumptions!O$192,3)=1,1,0)</f>
        <v>0</v>
      </c>
      <c r="P212" s="146" t="n">
        <f aca="false">IF(MOD(Assumptions!P$192,3)=1,1,0)</f>
        <v>0</v>
      </c>
      <c r="Q212" s="146" t="n">
        <f aca="false">IF(MOD(Assumptions!Q$192,3)=1,1,0)</f>
        <v>1</v>
      </c>
      <c r="R212" s="146" t="n">
        <f aca="false">IF(MOD(Assumptions!R$192,3)=1,1,0)</f>
        <v>0</v>
      </c>
      <c r="S212" s="146" t="n">
        <f aca="false">IF(MOD(Assumptions!S$192,3)=1,1,0)</f>
        <v>0</v>
      </c>
      <c r="T212" s="146" t="n">
        <f aca="false">IF(MOD(Assumptions!T$192,3)=1,1,0)</f>
        <v>1</v>
      </c>
      <c r="U212" s="146" t="n">
        <f aca="false">IF(MOD(Assumptions!U$192,3)=1,1,0)</f>
        <v>0</v>
      </c>
      <c r="V212" s="146" t="n">
        <f aca="false">IF(MOD(Assumptions!V$192,3)=1,1,0)</f>
        <v>0</v>
      </c>
      <c r="W212" s="146" t="n">
        <f aca="false">IF(MOD(Assumptions!W$192,3)=1,1,0)</f>
        <v>1</v>
      </c>
      <c r="X212" s="146" t="n">
        <f aca="false">IF(MOD(Assumptions!X$192,3)=1,1,0)</f>
        <v>0</v>
      </c>
      <c r="Y212" s="146" t="n">
        <f aca="false">IF(MOD(Assumptions!Y$192,3)=1,1,0)</f>
        <v>0</v>
      </c>
      <c r="Z212" s="146" t="n">
        <f aca="false">IF(MOD(Assumptions!Z$192,3)=1,1,0)</f>
        <v>1</v>
      </c>
      <c r="AA212" s="146" t="n">
        <f aca="false">IF(MOD(Assumptions!AA$192,3)=1,1,0)</f>
        <v>0</v>
      </c>
      <c r="AB212" s="146" t="n">
        <f aca="false">IF(MOD(Assumptions!AB$192,3)=1,1,0)</f>
        <v>0</v>
      </c>
    </row>
    <row r="213" customFormat="false" ht="15" hidden="false" customHeight="false" outlineLevel="0" collapsed="false">
      <c r="A213" s="28" t="s">
        <v>1831</v>
      </c>
      <c r="E213" s="146" t="n">
        <f aca="false">IF(Assumptions!E$191&gt;=2027,Assumptions!$C$29,0)</f>
        <v>0</v>
      </c>
      <c r="F213" s="146" t="n">
        <f aca="false">IF(Assumptions!F$191&gt;=2027,Assumptions!$C$29,0)</f>
        <v>0</v>
      </c>
      <c r="G213" s="146" t="n">
        <f aca="false">IF(Assumptions!G$191&gt;=2027,Assumptions!$C$29,0)</f>
        <v>0</v>
      </c>
      <c r="H213" s="146" t="n">
        <f aca="false">IF(Assumptions!H$191&gt;=2027,Assumptions!$C$29,0)</f>
        <v>0</v>
      </c>
      <c r="I213" s="146" t="n">
        <f aca="false">IF(Assumptions!I$191&gt;=2027,Assumptions!$C$29,0)</f>
        <v>0</v>
      </c>
      <c r="J213" s="146" t="n">
        <f aca="false">IF(Assumptions!J$191&gt;=2027,Assumptions!$C$29,0)</f>
        <v>0</v>
      </c>
      <c r="K213" s="146" t="n">
        <f aca="false">IF(Assumptions!K$191&gt;=2027,Assumptions!$C$29,0)</f>
        <v>0</v>
      </c>
      <c r="L213" s="146" t="n">
        <f aca="false">IF(Assumptions!L$191&gt;=2027,Assumptions!$C$29,0)</f>
        <v>0</v>
      </c>
      <c r="M213" s="146" t="n">
        <f aca="false">IF(Assumptions!M$191&gt;=2027,Assumptions!$C$29,0)</f>
        <v>0</v>
      </c>
      <c r="N213" s="146" t="n">
        <f aca="false">IF(Assumptions!N$191&gt;=2027,Assumptions!$C$29,0)</f>
        <v>0</v>
      </c>
      <c r="O213" s="146" t="n">
        <f aca="false">IF(Assumptions!O$191&gt;=2027,Assumptions!$C$29,0)</f>
        <v>0</v>
      </c>
      <c r="P213" s="146" t="n">
        <f aca="false">IF(Assumptions!P$191&gt;=2027,Assumptions!$C$29,0)</f>
        <v>0</v>
      </c>
      <c r="Q213" s="146" t="n">
        <f aca="false">IF(Assumptions!Q$191&gt;=2027,Assumptions!$C$29,0)</f>
        <v>1</v>
      </c>
      <c r="R213" s="146" t="n">
        <f aca="false">IF(Assumptions!R$191&gt;=2027,Assumptions!$C$29,0)</f>
        <v>1</v>
      </c>
      <c r="S213" s="146" t="n">
        <f aca="false">IF(Assumptions!S$191&gt;=2027,Assumptions!$C$29,0)</f>
        <v>1</v>
      </c>
      <c r="T213" s="146" t="n">
        <f aca="false">IF(Assumptions!T$191&gt;=2027,Assumptions!$C$29,0)</f>
        <v>1</v>
      </c>
      <c r="U213" s="146" t="n">
        <f aca="false">IF(Assumptions!U$191&gt;=2027,Assumptions!$C$29,0)</f>
        <v>1</v>
      </c>
      <c r="V213" s="146" t="n">
        <f aca="false">IF(Assumptions!V$191&gt;=2027,Assumptions!$C$29,0)</f>
        <v>1</v>
      </c>
      <c r="W213" s="146" t="n">
        <f aca="false">IF(Assumptions!W$191&gt;=2027,Assumptions!$C$29,0)</f>
        <v>1</v>
      </c>
      <c r="X213" s="146" t="n">
        <f aca="false">IF(Assumptions!X$191&gt;=2027,Assumptions!$C$29,0)</f>
        <v>1</v>
      </c>
      <c r="Y213" s="146" t="n">
        <f aca="false">IF(Assumptions!Y$191&gt;=2027,Assumptions!$C$29,0)</f>
        <v>1</v>
      </c>
      <c r="Z213" s="146" t="n">
        <f aca="false">IF(Assumptions!Z$191&gt;=2027,Assumptions!$C$29,0)</f>
        <v>1</v>
      </c>
      <c r="AA213" s="146" t="n">
        <f aca="false">IF(Assumptions!AA$191&gt;=2027,Assumptions!$C$29,0)</f>
        <v>1</v>
      </c>
      <c r="AB213" s="146" t="n">
        <f aca="false">IF(Assumptions!AB$191&gt;=2027,Assumptions!$C$29,0)</f>
        <v>1</v>
      </c>
    </row>
    <row r="214" customFormat="false" ht="15" hidden="false" customHeight="false" outlineLevel="0" collapsed="false">
      <c r="A214" s="28" t="s">
        <v>1832</v>
      </c>
      <c r="E214" s="150" t="n">
        <f aca="false">IF(Assumptions!E$191=2026,Assumptions!$C$31,Assumptions!$C$32)</f>
        <v>0.23</v>
      </c>
      <c r="F214" s="150" t="n">
        <f aca="false">IF(Assumptions!F$191=2026,Assumptions!$C$31,Assumptions!$C$32)</f>
        <v>0.23</v>
      </c>
      <c r="G214" s="150" t="n">
        <f aca="false">IF(Assumptions!G$191=2026,Assumptions!$C$31,Assumptions!$C$32)</f>
        <v>0.23</v>
      </c>
      <c r="H214" s="150" t="n">
        <f aca="false">IF(Assumptions!H$191=2026,Assumptions!$C$31,Assumptions!$C$32)</f>
        <v>0.23</v>
      </c>
      <c r="I214" s="150" t="n">
        <f aca="false">IF(Assumptions!I$191=2026,Assumptions!$C$31,Assumptions!$C$32)</f>
        <v>0.23</v>
      </c>
      <c r="J214" s="150" t="n">
        <f aca="false">IF(Assumptions!J$191=2026,Assumptions!$C$31,Assumptions!$C$32)</f>
        <v>0.23</v>
      </c>
      <c r="K214" s="150" t="n">
        <f aca="false">IF(Assumptions!K$191=2026,Assumptions!$C$31,Assumptions!$C$32)</f>
        <v>0.23</v>
      </c>
      <c r="L214" s="150" t="n">
        <f aca="false">IF(Assumptions!L$191=2026,Assumptions!$C$31,Assumptions!$C$32)</f>
        <v>0.23</v>
      </c>
      <c r="M214" s="150" t="n">
        <f aca="false">IF(Assumptions!M$191=2026,Assumptions!$C$31,Assumptions!$C$32)</f>
        <v>0.23</v>
      </c>
      <c r="N214" s="150" t="n">
        <f aca="false">IF(Assumptions!N$191=2026,Assumptions!$C$31,Assumptions!$C$32)</f>
        <v>0.23</v>
      </c>
      <c r="O214" s="150" t="n">
        <f aca="false">IF(Assumptions!O$191=2026,Assumptions!$C$31,Assumptions!$C$32)</f>
        <v>0.23</v>
      </c>
      <c r="P214" s="150" t="n">
        <f aca="false">IF(Assumptions!P$191=2026,Assumptions!$C$31,Assumptions!$C$32)</f>
        <v>0.23</v>
      </c>
      <c r="Q214" s="150" t="n">
        <f aca="false">IF(Assumptions!Q$191=2026,Assumptions!$C$31,Assumptions!$C$32)</f>
        <v>0.22</v>
      </c>
      <c r="R214" s="150" t="n">
        <f aca="false">IF(Assumptions!R$191=2026,Assumptions!$C$31,Assumptions!$C$32)</f>
        <v>0.22</v>
      </c>
      <c r="S214" s="150" t="n">
        <f aca="false">IF(Assumptions!S$191=2026,Assumptions!$C$31,Assumptions!$C$32)</f>
        <v>0.22</v>
      </c>
      <c r="T214" s="150" t="n">
        <f aca="false">IF(Assumptions!T$191=2026,Assumptions!$C$31,Assumptions!$C$32)</f>
        <v>0.22</v>
      </c>
      <c r="U214" s="150" t="n">
        <f aca="false">IF(Assumptions!U$191=2026,Assumptions!$C$31,Assumptions!$C$32)</f>
        <v>0.22</v>
      </c>
      <c r="V214" s="150" t="n">
        <f aca="false">IF(Assumptions!V$191=2026,Assumptions!$C$31,Assumptions!$C$32)</f>
        <v>0.22</v>
      </c>
      <c r="W214" s="150" t="n">
        <f aca="false">IF(Assumptions!W$191=2026,Assumptions!$C$31,Assumptions!$C$32)</f>
        <v>0.22</v>
      </c>
      <c r="X214" s="150" t="n">
        <f aca="false">IF(Assumptions!X$191=2026,Assumptions!$C$31,Assumptions!$C$32)</f>
        <v>0.22</v>
      </c>
      <c r="Y214" s="150" t="n">
        <f aca="false">IF(Assumptions!Y$191=2026,Assumptions!$C$31,Assumptions!$C$32)</f>
        <v>0.22</v>
      </c>
      <c r="Z214" s="150" t="n">
        <f aca="false">IF(Assumptions!Z$191=2026,Assumptions!$C$31,Assumptions!$C$32)</f>
        <v>0.22</v>
      </c>
      <c r="AA214" s="150" t="n">
        <f aca="false">IF(Assumptions!AA$191=2026,Assumptions!$C$31,Assumptions!$C$32)</f>
        <v>0.22</v>
      </c>
      <c r="AB214" s="150" t="n">
        <f aca="false">IF(Assumptions!AB$191=2026,Assumptions!$C$31,Assumptions!$C$32)</f>
        <v>0.22</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4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1833</v>
      </c>
    </row>
    <row r="3" customFormat="false" ht="15" hidden="false" customHeight="false" outlineLevel="0" collapsed="false">
      <c r="A3" s="50" t="s">
        <v>1834</v>
      </c>
    </row>
    <row r="4" customFormat="false" ht="15" hidden="false" customHeight="false" outlineLevel="0" collapsed="false">
      <c r="A4" s="51" t="s">
        <v>325</v>
      </c>
      <c r="B4" s="51" t="s">
        <v>326</v>
      </c>
      <c r="C4" s="52" t="s">
        <v>327</v>
      </c>
      <c r="D4" s="52" t="s">
        <v>328</v>
      </c>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c r="Q4" s="53" t="n">
        <f aca="false">Assumptions!Q$188</f>
        <v>46418</v>
      </c>
      <c r="R4" s="53" t="n">
        <f aca="false">Assumptions!R$188</f>
        <v>46446</v>
      </c>
      <c r="S4" s="53" t="n">
        <f aca="false">Assumptions!S$188</f>
        <v>46477</v>
      </c>
      <c r="T4" s="53" t="n">
        <f aca="false">Assumptions!T$188</f>
        <v>46507</v>
      </c>
      <c r="U4" s="53" t="n">
        <f aca="false">Assumptions!U$188</f>
        <v>46538</v>
      </c>
      <c r="V4" s="53" t="n">
        <f aca="false">Assumptions!V$188</f>
        <v>46568</v>
      </c>
      <c r="W4" s="53" t="n">
        <f aca="false">Assumptions!W$188</f>
        <v>46599</v>
      </c>
      <c r="X4" s="53" t="n">
        <f aca="false">Assumptions!X$188</f>
        <v>46630</v>
      </c>
      <c r="Y4" s="53" t="n">
        <f aca="false">Assumptions!Y$188</f>
        <v>46660</v>
      </c>
      <c r="Z4" s="53" t="n">
        <f aca="false">Assumptions!Z$188</f>
        <v>46691</v>
      </c>
      <c r="AA4" s="53" t="n">
        <f aca="false">Assumptions!AA$188</f>
        <v>46721</v>
      </c>
      <c r="AB4" s="53" t="n">
        <f aca="false">Assumptions!AB$188</f>
        <v>46752</v>
      </c>
    </row>
    <row r="5" customFormat="false" ht="15" hidden="false" customHeight="false" outlineLevel="0" collapsed="false">
      <c r="A5" s="54" t="s">
        <v>329</v>
      </c>
      <c r="B5" s="55"/>
      <c r="C5" s="56" t="s">
        <v>330</v>
      </c>
      <c r="D5" s="56" t="s">
        <v>331</v>
      </c>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c r="Q5" s="56" t="str">
        <f aca="false">Assumptions!Q$190</f>
        <v>F</v>
      </c>
      <c r="R5" s="56" t="str">
        <f aca="false">Assumptions!R$190</f>
        <v>F</v>
      </c>
      <c r="S5" s="56" t="str">
        <f aca="false">Assumptions!S$190</f>
        <v>F</v>
      </c>
      <c r="T5" s="56" t="str">
        <f aca="false">Assumptions!T$190</f>
        <v>F</v>
      </c>
      <c r="U5" s="56" t="str">
        <f aca="false">Assumptions!U$190</f>
        <v>F</v>
      </c>
      <c r="V5" s="56" t="str">
        <f aca="false">Assumptions!V$190</f>
        <v>F</v>
      </c>
      <c r="W5" s="56" t="str">
        <f aca="false">Assumptions!W$190</f>
        <v>F</v>
      </c>
      <c r="X5" s="56" t="str">
        <f aca="false">Assumptions!X$190</f>
        <v>F</v>
      </c>
      <c r="Y5" s="56" t="str">
        <f aca="false">Assumptions!Y$190</f>
        <v>F</v>
      </c>
      <c r="Z5" s="56" t="str">
        <f aca="false">Assumptions!Z$190</f>
        <v>F</v>
      </c>
      <c r="AA5" s="56" t="str">
        <f aca="false">Assumptions!AA$190</f>
        <v>F</v>
      </c>
      <c r="AB5" s="56" t="str">
        <f aca="false">Assumptions!AB$190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c r="Q6" s="58" t="n">
        <f aca="false">Assumptions!Q$189</f>
        <v>13</v>
      </c>
      <c r="R6" s="58" t="n">
        <f aca="false">Assumptions!R$189</f>
        <v>14</v>
      </c>
      <c r="S6" s="58" t="n">
        <f aca="false">Assumptions!S$189</f>
        <v>15</v>
      </c>
      <c r="T6" s="58" t="n">
        <f aca="false">Assumptions!T$189</f>
        <v>16</v>
      </c>
      <c r="U6" s="58" t="n">
        <f aca="false">Assumptions!U$189</f>
        <v>17</v>
      </c>
      <c r="V6" s="58" t="n">
        <f aca="false">Assumptions!V$189</f>
        <v>18</v>
      </c>
      <c r="W6" s="58" t="n">
        <f aca="false">Assumptions!W$189</f>
        <v>19</v>
      </c>
      <c r="X6" s="58" t="n">
        <f aca="false">Assumptions!X$189</f>
        <v>20</v>
      </c>
      <c r="Y6" s="58" t="n">
        <f aca="false">Assumptions!Y$189</f>
        <v>21</v>
      </c>
      <c r="Z6" s="58" t="n">
        <f aca="false">Assumptions!Z$189</f>
        <v>22</v>
      </c>
      <c r="AA6" s="58" t="n">
        <f aca="false">Assumptions!AA$189</f>
        <v>23</v>
      </c>
      <c r="AB6" s="58" t="n">
        <f aca="false">Assumptions!AB$189</f>
        <v>24</v>
      </c>
    </row>
    <row r="8" customFormat="false" ht="15" hidden="false" customHeight="false" outlineLevel="0" collapsed="false">
      <c r="A8" s="22" t="s">
        <v>1835</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1836</v>
      </c>
      <c r="B9" s="63" t="s">
        <v>1837</v>
      </c>
      <c r="C9" s="64" t="n">
        <f aca="false">P9</f>
        <v>0</v>
      </c>
      <c r="E9" s="110" t="n">
        <v>70339.1</v>
      </c>
      <c r="F9" s="110" t="n">
        <v>68756.28</v>
      </c>
      <c r="G9" s="110" t="n">
        <v>68256.82</v>
      </c>
      <c r="H9" s="110" t="n">
        <v>67430.99</v>
      </c>
      <c r="I9" s="110" t="n">
        <v>66597.25</v>
      </c>
      <c r="J9" s="110" t="n">
        <v>65489.1</v>
      </c>
      <c r="K9" s="110" t="n">
        <v>65693.57</v>
      </c>
      <c r="L9" s="110" t="n">
        <v>64623.63</v>
      </c>
    </row>
    <row r="10" customFormat="false" ht="15" hidden="false" customHeight="false" outlineLevel="0" collapsed="false">
      <c r="A10" s="28" t="s">
        <v>1838</v>
      </c>
      <c r="B10" s="63" t="s">
        <v>1837</v>
      </c>
      <c r="C10" s="64" t="n">
        <f aca="false">P10</f>
        <v>0</v>
      </c>
      <c r="E10" s="110" t="n">
        <v>3452.61</v>
      </c>
      <c r="F10" s="110" t="n">
        <v>3485.92</v>
      </c>
      <c r="G10" s="110" t="n">
        <v>3278.56</v>
      </c>
      <c r="H10" s="110" t="n">
        <v>3292.4</v>
      </c>
      <c r="I10" s="110" t="n">
        <v>3313.97</v>
      </c>
      <c r="J10" s="110" t="n">
        <v>3333.21</v>
      </c>
      <c r="K10" s="110" t="n">
        <v>3353.77</v>
      </c>
      <c r="L10" s="110" t="n">
        <v>3377.36</v>
      </c>
    </row>
    <row r="11" customFormat="false" ht="15" hidden="false" customHeight="false" outlineLevel="0" collapsed="false">
      <c r="A11" s="28" t="s">
        <v>1839</v>
      </c>
      <c r="B11" s="63" t="s">
        <v>1837</v>
      </c>
      <c r="C11" s="64" t="n">
        <f aca="false">P11</f>
        <v>0</v>
      </c>
      <c r="E11" s="110" t="n">
        <v>4879.39</v>
      </c>
      <c r="F11" s="110" t="n">
        <v>4909.98</v>
      </c>
      <c r="G11" s="110" t="n">
        <v>4952.42</v>
      </c>
      <c r="H11" s="110" t="n">
        <v>4989.88</v>
      </c>
      <c r="I11" s="110" t="n">
        <v>5021.6</v>
      </c>
      <c r="J11" s="110" t="n">
        <v>5053.45</v>
      </c>
      <c r="K11" s="110" t="n">
        <v>4826.99</v>
      </c>
      <c r="L11" s="110" t="n">
        <v>4847.09</v>
      </c>
    </row>
    <row r="12" customFormat="false" ht="15" hidden="false" customHeight="false" outlineLevel="0" collapsed="false">
      <c r="A12" s="28" t="s">
        <v>1840</v>
      </c>
      <c r="B12" s="63" t="s">
        <v>1837</v>
      </c>
      <c r="C12" s="64" t="n">
        <f aca="false">P12</f>
        <v>0</v>
      </c>
      <c r="E12" s="110" t="n">
        <v>3747.87</v>
      </c>
      <c r="F12" s="110" t="n">
        <v>3775.53</v>
      </c>
      <c r="G12" s="110" t="n">
        <v>3819.37</v>
      </c>
      <c r="H12" s="110" t="n">
        <v>3852.32</v>
      </c>
      <c r="I12" s="110" t="n">
        <v>3652.64</v>
      </c>
      <c r="J12" s="110" t="n">
        <v>3674.66</v>
      </c>
      <c r="K12" s="110" t="n">
        <v>3685.62</v>
      </c>
      <c r="L12" s="110" t="n">
        <v>3709.81</v>
      </c>
    </row>
    <row r="13" customFormat="false" ht="15" hidden="false" customHeight="false" outlineLevel="0" collapsed="false">
      <c r="A13" s="28" t="s">
        <v>1841</v>
      </c>
      <c r="B13" s="63" t="s">
        <v>1837</v>
      </c>
      <c r="C13" s="64" t="n">
        <f aca="false">P13</f>
        <v>0</v>
      </c>
      <c r="E13" s="110" t="n">
        <v>3600.54</v>
      </c>
      <c r="F13" s="110" t="n">
        <v>3603.62</v>
      </c>
      <c r="G13" s="110" t="n">
        <v>3632.1</v>
      </c>
      <c r="H13" s="110" t="n">
        <v>3451.63</v>
      </c>
      <c r="I13" s="110" t="n">
        <v>3469.09</v>
      </c>
      <c r="J13" s="110" t="n">
        <v>3492.76</v>
      </c>
      <c r="K13" s="110" t="n">
        <v>3510.53</v>
      </c>
      <c r="L13" s="110" t="n">
        <v>3327.85</v>
      </c>
    </row>
    <row r="14" customFormat="false" ht="15" hidden="false" customHeight="false" outlineLevel="0" collapsed="false">
      <c r="A14" s="28" t="s">
        <v>1842</v>
      </c>
      <c r="B14" s="63" t="s">
        <v>1837</v>
      </c>
      <c r="C14" s="64" t="n">
        <f aca="false">P14</f>
        <v>0</v>
      </c>
      <c r="E14" s="110" t="n">
        <v>2538.56</v>
      </c>
      <c r="F14" s="110" t="n">
        <v>2540.38</v>
      </c>
      <c r="G14" s="110" t="n">
        <v>2338.97</v>
      </c>
      <c r="H14" s="110" t="n">
        <v>2357.57</v>
      </c>
      <c r="I14" s="110" t="n">
        <v>2374.87</v>
      </c>
      <c r="J14" s="110" t="n">
        <v>2385.77</v>
      </c>
      <c r="K14" s="110" t="n">
        <v>2400.19</v>
      </c>
      <c r="L14" s="110" t="n">
        <v>2409.58</v>
      </c>
    </row>
    <row r="15" customFormat="false" ht="15" hidden="false" customHeight="false" outlineLevel="0" collapsed="false">
      <c r="A15" s="28" t="s">
        <v>1843</v>
      </c>
      <c r="B15" s="63" t="s">
        <v>1837</v>
      </c>
      <c r="C15" s="64" t="n">
        <f aca="false">P15</f>
        <v>0</v>
      </c>
      <c r="E15" s="110" t="n">
        <v>2018.25</v>
      </c>
      <c r="F15" s="110" t="n">
        <v>1821.22</v>
      </c>
      <c r="G15" s="110" t="n">
        <v>1835.2</v>
      </c>
      <c r="H15" s="110" t="n">
        <v>1847.06</v>
      </c>
      <c r="I15" s="110" t="n">
        <v>1599.72</v>
      </c>
      <c r="J15" s="110" t="n">
        <v>1611.54</v>
      </c>
      <c r="K15" s="110" t="n">
        <v>1621.93</v>
      </c>
      <c r="L15" s="110" t="n">
        <v>1627.68</v>
      </c>
    </row>
    <row r="16" customFormat="false" ht="15" hidden="false" customHeight="false" outlineLevel="0" collapsed="false">
      <c r="A16" s="28" t="s">
        <v>1844</v>
      </c>
      <c r="B16" s="63" t="s">
        <v>1837</v>
      </c>
      <c r="C16" s="64" t="n">
        <f aca="false">P16</f>
        <v>0</v>
      </c>
      <c r="E16" s="110" t="n">
        <v>3960.96</v>
      </c>
      <c r="F16" s="110" t="n">
        <v>4008.81</v>
      </c>
      <c r="G16" s="110" t="n">
        <v>4028.58</v>
      </c>
      <c r="H16" s="110" t="n">
        <v>4054.41</v>
      </c>
      <c r="I16" s="110" t="n">
        <v>4080</v>
      </c>
      <c r="J16" s="110" t="n">
        <v>4104.59</v>
      </c>
      <c r="K16" s="110" t="n">
        <v>4111.5</v>
      </c>
      <c r="L16" s="110" t="n">
        <v>4144.94</v>
      </c>
    </row>
    <row r="17" customFormat="false" ht="15" hidden="false" customHeight="false" outlineLevel="0" collapsed="false">
      <c r="A17" s="28" t="s">
        <v>1845</v>
      </c>
      <c r="B17" s="63" t="s">
        <v>1837</v>
      </c>
      <c r="C17" s="64" t="n">
        <f aca="false">P17</f>
        <v>0</v>
      </c>
      <c r="E17" s="110" t="n">
        <v>2326.87</v>
      </c>
      <c r="F17" s="110" t="n">
        <v>2339.22</v>
      </c>
      <c r="G17" s="110" t="n">
        <v>2145.02</v>
      </c>
      <c r="H17" s="110" t="n">
        <v>2157.81</v>
      </c>
      <c r="I17" s="110" t="n">
        <v>1955.5</v>
      </c>
      <c r="J17" s="110" t="n">
        <v>1971.03</v>
      </c>
      <c r="K17" s="110" t="n">
        <v>1982.93</v>
      </c>
      <c r="L17" s="110" t="n">
        <v>1996.64</v>
      </c>
    </row>
    <row r="18" customFormat="false" ht="15" hidden="false" customHeight="false" outlineLevel="0" collapsed="false">
      <c r="A18" s="28" t="s">
        <v>1846</v>
      </c>
      <c r="B18" s="63" t="s">
        <v>1837</v>
      </c>
      <c r="C18" s="64" t="n">
        <f aca="false">P18</f>
        <v>0</v>
      </c>
      <c r="E18" s="110" t="n">
        <v>4014.81</v>
      </c>
      <c r="F18" s="110" t="n">
        <v>4035.79</v>
      </c>
      <c r="G18" s="110" t="n">
        <v>3861.67</v>
      </c>
      <c r="H18" s="110" t="n">
        <v>3876.66</v>
      </c>
      <c r="I18" s="110" t="n">
        <v>3907.66</v>
      </c>
      <c r="J18" s="110" t="n">
        <v>3486.02</v>
      </c>
      <c r="K18" s="110" t="n">
        <v>3489.79</v>
      </c>
      <c r="L18" s="110" t="n">
        <v>3313.32</v>
      </c>
    </row>
    <row r="19" customFormat="false" ht="15" hidden="false" customHeight="false" outlineLevel="0" collapsed="false">
      <c r="A19" s="28" t="s">
        <v>1847</v>
      </c>
      <c r="B19" s="63" t="s">
        <v>1837</v>
      </c>
      <c r="C19" s="64" t="n">
        <f aca="false">P19</f>
        <v>0</v>
      </c>
      <c r="E19" s="110" t="n">
        <v>4181.8</v>
      </c>
      <c r="F19" s="110" t="n">
        <v>4016.6</v>
      </c>
      <c r="G19" s="110" t="n">
        <v>3836.5</v>
      </c>
      <c r="H19" s="110" t="n">
        <v>3862.4</v>
      </c>
      <c r="I19" s="110" t="n">
        <v>3677.87</v>
      </c>
      <c r="J19" s="110" t="n">
        <v>3692.06</v>
      </c>
      <c r="K19" s="110" t="n">
        <v>3710.19</v>
      </c>
      <c r="L19" s="110" t="n">
        <v>3525.84</v>
      </c>
    </row>
    <row r="20" customFormat="false" ht="15" hidden="false" customHeight="false" outlineLevel="0" collapsed="false">
      <c r="A20" s="28" t="s">
        <v>1848</v>
      </c>
      <c r="B20" s="63" t="s">
        <v>1837</v>
      </c>
      <c r="C20" s="64" t="n">
        <f aca="false">P20</f>
        <v>0</v>
      </c>
      <c r="E20" s="110" t="n">
        <v>3674.25</v>
      </c>
      <c r="F20" s="110" t="n">
        <v>3453.73</v>
      </c>
      <c r="G20" s="110" t="n">
        <v>3259.56</v>
      </c>
      <c r="H20" s="110" t="n">
        <v>3273.35</v>
      </c>
      <c r="I20" s="110" t="n">
        <v>3309.48</v>
      </c>
      <c r="J20" s="110" t="n">
        <v>3325.13</v>
      </c>
      <c r="K20" s="110" t="n">
        <v>3355.03</v>
      </c>
      <c r="L20" s="110" t="n">
        <v>3381.5</v>
      </c>
    </row>
    <row r="21" customFormat="false" ht="15" hidden="false" customHeight="false" outlineLevel="0" collapsed="false">
      <c r="A21" s="28" t="s">
        <v>1849</v>
      </c>
      <c r="B21" s="63" t="s">
        <v>1837</v>
      </c>
      <c r="C21" s="64" t="n">
        <f aca="false">P21</f>
        <v>0</v>
      </c>
      <c r="E21" s="110" t="n">
        <v>2464.18</v>
      </c>
      <c r="F21" s="110" t="n">
        <v>2479.29</v>
      </c>
      <c r="G21" s="110" t="n">
        <v>2490.45</v>
      </c>
      <c r="H21" s="110" t="n">
        <v>2293.67</v>
      </c>
      <c r="I21" s="110" t="n">
        <v>2313</v>
      </c>
      <c r="J21" s="110" t="n">
        <v>2118.59</v>
      </c>
      <c r="K21" s="110" t="n">
        <v>2126.06</v>
      </c>
      <c r="L21" s="110" t="n">
        <v>2137.79</v>
      </c>
    </row>
    <row r="22" customFormat="false" ht="15" hidden="false" customHeight="false" outlineLevel="0" collapsed="false">
      <c r="A22" s="28" t="s">
        <v>1850</v>
      </c>
      <c r="B22" s="63" t="s">
        <v>1837</v>
      </c>
      <c r="C22" s="64" t="n">
        <f aca="false">P22</f>
        <v>0</v>
      </c>
      <c r="E22" s="110" t="n">
        <v>6237.39</v>
      </c>
      <c r="F22" s="110" t="n">
        <v>6278.65</v>
      </c>
      <c r="G22" s="110" t="n">
        <v>6322.38</v>
      </c>
      <c r="H22" s="110" t="n">
        <v>6328.37</v>
      </c>
      <c r="I22" s="110" t="n">
        <v>6342.66</v>
      </c>
      <c r="J22" s="110" t="n">
        <v>6389.92</v>
      </c>
      <c r="K22" s="110" t="n">
        <v>6225.85</v>
      </c>
      <c r="L22" s="110" t="n">
        <v>6242.75</v>
      </c>
    </row>
    <row r="23" customFormat="false" ht="15" hidden="false" customHeight="false" outlineLevel="0" collapsed="false">
      <c r="A23" s="28" t="s">
        <v>1851</v>
      </c>
      <c r="B23" s="63" t="s">
        <v>1837</v>
      </c>
      <c r="C23" s="64" t="n">
        <f aca="false">P23</f>
        <v>0</v>
      </c>
      <c r="E23" s="110" t="n">
        <v>9565.13</v>
      </c>
      <c r="F23" s="110" t="n">
        <v>9648.47</v>
      </c>
      <c r="G23" s="110" t="n">
        <v>9331.97</v>
      </c>
      <c r="H23" s="110" t="n">
        <v>9224.75</v>
      </c>
      <c r="I23" s="110" t="n">
        <v>9061.96</v>
      </c>
      <c r="J23" s="110" t="n">
        <v>8755.95</v>
      </c>
      <c r="K23" s="110" t="n">
        <v>8808.53</v>
      </c>
      <c r="L23" s="110" t="n">
        <v>8898.03</v>
      </c>
    </row>
    <row r="24" customFormat="false" ht="15" hidden="false" customHeight="false" outlineLevel="0" collapsed="false">
      <c r="A24" s="28" t="s">
        <v>1852</v>
      </c>
      <c r="B24" s="63" t="s">
        <v>1837</v>
      </c>
      <c r="C24" s="64" t="n">
        <f aca="false">P24</f>
        <v>0</v>
      </c>
      <c r="E24" s="110" t="n">
        <v>3530.7</v>
      </c>
      <c r="F24" s="110" t="n">
        <v>3552.74</v>
      </c>
      <c r="G24" s="110" t="n">
        <v>3577.96</v>
      </c>
      <c r="H24" s="110" t="n">
        <v>3427.43</v>
      </c>
      <c r="I24" s="110" t="n">
        <v>3279.17</v>
      </c>
      <c r="J24" s="110" t="n">
        <v>3292.91</v>
      </c>
      <c r="K24" s="110" t="n">
        <v>3134.93</v>
      </c>
      <c r="L24" s="110" t="n">
        <v>3153.48</v>
      </c>
    </row>
    <row r="25" customFormat="false" ht="15" hidden="false" customHeight="false" outlineLevel="0" collapsed="false">
      <c r="A25" s="28" t="s">
        <v>1853</v>
      </c>
      <c r="B25" s="63" t="s">
        <v>1837</v>
      </c>
      <c r="C25" s="64" t="n">
        <f aca="false">P25</f>
        <v>0</v>
      </c>
      <c r="E25" s="110" t="n">
        <v>3544.85</v>
      </c>
      <c r="F25" s="110" t="n">
        <v>2942.59</v>
      </c>
      <c r="G25" s="110" t="n">
        <v>2960.08</v>
      </c>
      <c r="H25" s="110" t="n">
        <v>2770.24</v>
      </c>
      <c r="I25" s="110" t="n">
        <v>2797.38</v>
      </c>
      <c r="J25" s="110" t="n">
        <v>2794</v>
      </c>
      <c r="K25" s="110" t="n">
        <v>2796.28</v>
      </c>
      <c r="L25" s="110" t="n">
        <v>2809.06</v>
      </c>
    </row>
    <row r="26" customFormat="false" ht="15" hidden="false" customHeight="false" outlineLevel="0" collapsed="false">
      <c r="A26" s="28" t="s">
        <v>1854</v>
      </c>
      <c r="B26" s="63" t="s">
        <v>1837</v>
      </c>
      <c r="C26" s="64" t="n">
        <f aca="false">P26</f>
        <v>0</v>
      </c>
      <c r="E26" s="110" t="n">
        <v>4210.38</v>
      </c>
      <c r="F26" s="110" t="n">
        <v>4034.77</v>
      </c>
      <c r="G26" s="110" t="n">
        <v>3881.08</v>
      </c>
      <c r="H26" s="110" t="n">
        <v>3912.97</v>
      </c>
      <c r="I26" s="110" t="n">
        <v>3942.7</v>
      </c>
      <c r="J26" s="110" t="n">
        <v>3970.42</v>
      </c>
      <c r="K26" s="110" t="n">
        <v>3977.52</v>
      </c>
      <c r="L26" s="110" t="n">
        <v>3995.67</v>
      </c>
    </row>
    <row r="27" customFormat="false" ht="15" hidden="false" customHeight="false" outlineLevel="0" collapsed="false">
      <c r="A27" s="28" t="s">
        <v>1855</v>
      </c>
      <c r="B27" s="63" t="s">
        <v>1837</v>
      </c>
      <c r="C27" s="64" t="n">
        <f aca="false">P27</f>
        <v>0</v>
      </c>
      <c r="E27" s="110" t="n">
        <v>4868.12</v>
      </c>
      <c r="F27" s="110" t="n">
        <v>4664.77</v>
      </c>
      <c r="G27" s="110" t="n">
        <v>4687.76</v>
      </c>
      <c r="H27" s="110" t="n">
        <v>4293.74</v>
      </c>
      <c r="I27" s="110" t="n">
        <v>4324.2</v>
      </c>
      <c r="J27" s="110" t="n">
        <v>3903</v>
      </c>
      <c r="K27" s="110" t="n">
        <v>3682.34</v>
      </c>
      <c r="L27" s="110" t="n">
        <v>3508.45</v>
      </c>
    </row>
    <row r="28" customFormat="false" ht="15" hidden="false" customHeight="false" outlineLevel="0" collapsed="false">
      <c r="A28" s="28" t="s">
        <v>1856</v>
      </c>
      <c r="B28" s="63" t="s">
        <v>1837</v>
      </c>
      <c r="C28" s="64" t="n">
        <f aca="false">P28</f>
        <v>0</v>
      </c>
      <c r="E28" s="110" t="n">
        <v>5132.45</v>
      </c>
      <c r="F28" s="110" t="n">
        <v>4965.19</v>
      </c>
      <c r="G28" s="110" t="n">
        <v>5000.09</v>
      </c>
      <c r="H28" s="110" t="n">
        <v>4803.86</v>
      </c>
      <c r="I28" s="110" t="n">
        <v>4630.87</v>
      </c>
      <c r="J28" s="110" t="n">
        <v>4455.9</v>
      </c>
      <c r="K28" s="110" t="n">
        <v>4464.73</v>
      </c>
      <c r="L28" s="110" t="n">
        <v>4485.92</v>
      </c>
    </row>
    <row r="29" customFormat="false" ht="15" hidden="false" customHeight="false" outlineLevel="0" collapsed="false">
      <c r="A29" s="28" t="s">
        <v>1857</v>
      </c>
      <c r="B29" s="63" t="s">
        <v>1837</v>
      </c>
      <c r="C29" s="64" t="n">
        <f aca="false">P29</f>
        <v>0</v>
      </c>
      <c r="E29" s="110" t="n">
        <v>3803.12</v>
      </c>
      <c r="F29" s="110" t="n">
        <v>3631.91</v>
      </c>
      <c r="G29" s="110" t="n">
        <v>3653.31</v>
      </c>
      <c r="H29" s="110" t="n">
        <v>3677.36</v>
      </c>
      <c r="I29" s="110" t="n">
        <v>3722.68</v>
      </c>
      <c r="J29" s="110" t="n">
        <v>3536.77</v>
      </c>
      <c r="K29" s="110" t="n">
        <v>3343.29</v>
      </c>
      <c r="L29" s="110" t="n">
        <v>3150.07</v>
      </c>
    </row>
    <row r="30" customFormat="false" ht="15" hidden="false" customHeight="false" outlineLevel="0" collapsed="false">
      <c r="A30" s="28" t="s">
        <v>1858</v>
      </c>
      <c r="B30" s="63" t="s">
        <v>1837</v>
      </c>
      <c r="C30" s="64" t="n">
        <f aca="false">P30</f>
        <v>0</v>
      </c>
      <c r="E30" s="110" t="n">
        <v>939.5</v>
      </c>
      <c r="F30" s="110" t="n">
        <v>942.08</v>
      </c>
      <c r="G30" s="110" t="n">
        <v>948.83</v>
      </c>
      <c r="H30" s="110" t="n">
        <v>958.28</v>
      </c>
      <c r="I30" s="110" t="n">
        <v>762.24</v>
      </c>
      <c r="J30" s="110" t="n">
        <v>768.85</v>
      </c>
      <c r="K30" s="110" t="n">
        <v>772.6</v>
      </c>
      <c r="L30" s="110" t="n">
        <v>775.72</v>
      </c>
    </row>
    <row r="31" customFormat="false" ht="15" hidden="false" customHeight="false" outlineLevel="0" collapsed="false">
      <c r="A31" s="28" t="s">
        <v>1859</v>
      </c>
      <c r="B31" s="63" t="s">
        <v>1837</v>
      </c>
      <c r="C31" s="64" t="n">
        <f aca="false">P31</f>
        <v>0</v>
      </c>
      <c r="E31" s="110" t="n">
        <v>5735.75</v>
      </c>
      <c r="F31" s="110" t="n">
        <v>5578.48</v>
      </c>
      <c r="G31" s="110" t="n">
        <v>5610.87</v>
      </c>
      <c r="H31" s="110" t="n">
        <v>5652.29</v>
      </c>
      <c r="I31" s="110" t="n">
        <v>5526.74</v>
      </c>
      <c r="J31" s="110" t="n">
        <v>5336.39</v>
      </c>
      <c r="K31" s="110" t="n">
        <v>5198.39</v>
      </c>
      <c r="L31" s="110" t="n">
        <v>4821.34</v>
      </c>
    </row>
    <row r="32" customFormat="false" ht="15" hidden="false" customHeight="false" outlineLevel="0" collapsed="false">
      <c r="A32" s="28" t="s">
        <v>1860</v>
      </c>
      <c r="B32" s="63" t="s">
        <v>1837</v>
      </c>
      <c r="C32" s="64" t="n">
        <f aca="false">P32</f>
        <v>0</v>
      </c>
      <c r="E32" s="110" t="n">
        <v>4547.77</v>
      </c>
      <c r="F32" s="110" t="n">
        <v>4252.21</v>
      </c>
      <c r="G32" s="110" t="n">
        <v>3927.79</v>
      </c>
      <c r="H32" s="110" t="n">
        <v>3755.34</v>
      </c>
      <c r="I32" s="110" t="n">
        <v>3595.74</v>
      </c>
      <c r="J32" s="110" t="n">
        <v>3452.82</v>
      </c>
      <c r="K32" s="110" t="n">
        <v>3473.1</v>
      </c>
      <c r="L32" s="110" t="n">
        <v>3349.5</v>
      </c>
    </row>
    <row r="33" customFormat="false" ht="15" hidden="false" customHeight="false" outlineLevel="0" collapsed="false">
      <c r="A33" s="28" t="s">
        <v>1861</v>
      </c>
      <c r="B33" s="63" t="s">
        <v>1837</v>
      </c>
      <c r="C33" s="64" t="n">
        <f aca="false">P33</f>
        <v>0</v>
      </c>
      <c r="E33" s="110" t="n">
        <v>5496.47</v>
      </c>
      <c r="F33" s="110" t="n">
        <v>5171.39</v>
      </c>
      <c r="G33" s="110" t="n">
        <v>5195.35</v>
      </c>
      <c r="H33" s="110" t="n">
        <v>5031.09</v>
      </c>
      <c r="I33" s="110" t="n">
        <v>4860.8</v>
      </c>
      <c r="J33" s="110" t="n">
        <v>4455.56</v>
      </c>
      <c r="K33" s="110" t="n">
        <v>4482.51</v>
      </c>
      <c r="L33" s="110" t="n">
        <v>4500.53</v>
      </c>
    </row>
    <row r="34" customFormat="false" ht="15" hidden="false" customHeight="false" outlineLevel="0" collapsed="false">
      <c r="A34" s="28" t="s">
        <v>1862</v>
      </c>
      <c r="B34" s="63" t="s">
        <v>1837</v>
      </c>
      <c r="C34" s="64" t="n">
        <f aca="false">P34</f>
        <v>0</v>
      </c>
      <c r="E34" s="110" t="n">
        <v>6167.42</v>
      </c>
      <c r="F34" s="110" t="n">
        <v>5861.17</v>
      </c>
      <c r="G34" s="110" t="n">
        <v>5898.97</v>
      </c>
      <c r="H34" s="110" t="n">
        <v>5607.57</v>
      </c>
      <c r="I34" s="110" t="n">
        <v>5474.36</v>
      </c>
      <c r="J34" s="110" t="n">
        <v>5101.39</v>
      </c>
      <c r="K34" s="110" t="n">
        <v>5141.02</v>
      </c>
      <c r="L34" s="110" t="n">
        <v>5160.16</v>
      </c>
    </row>
    <row r="35" customFormat="false" ht="15" hidden="false" customHeight="false" outlineLevel="0" collapsed="false">
      <c r="A35" s="28" t="s">
        <v>1863</v>
      </c>
      <c r="B35" s="63" t="s">
        <v>1837</v>
      </c>
      <c r="C35" s="64" t="n">
        <f aca="false">P35</f>
        <v>0</v>
      </c>
      <c r="F35" s="110" t="n">
        <v>7044.4</v>
      </c>
      <c r="G35" s="110" t="n">
        <v>6771.92</v>
      </c>
      <c r="H35" s="110" t="n">
        <v>6634.6</v>
      </c>
      <c r="I35" s="110" t="n">
        <v>6684.42</v>
      </c>
      <c r="J35" s="110" t="n">
        <v>6011.47</v>
      </c>
      <c r="K35" s="110" t="n">
        <v>5680.15</v>
      </c>
      <c r="L35" s="110" t="n">
        <v>5505.71</v>
      </c>
    </row>
    <row r="36" customFormat="false" ht="15" hidden="false" customHeight="false" outlineLevel="0" collapsed="false">
      <c r="A36" s="28" t="s">
        <v>1864</v>
      </c>
      <c r="B36" s="63" t="s">
        <v>1837</v>
      </c>
      <c r="C36" s="64" t="n">
        <f aca="false">P36</f>
        <v>0</v>
      </c>
      <c r="G36" s="110" t="n">
        <v>6938.22</v>
      </c>
      <c r="H36" s="110" t="n">
        <v>6636.37</v>
      </c>
      <c r="I36" s="110" t="n">
        <v>6362.98</v>
      </c>
      <c r="J36" s="110" t="n">
        <v>5836.71</v>
      </c>
      <c r="K36" s="110" t="n">
        <v>5670.61</v>
      </c>
      <c r="L36" s="110" t="n">
        <v>5696.97</v>
      </c>
    </row>
    <row r="37" customFormat="false" ht="15" hidden="false" customHeight="false" outlineLevel="0" collapsed="false">
      <c r="A37" s="28" t="s">
        <v>1865</v>
      </c>
      <c r="B37" s="63" t="s">
        <v>1837</v>
      </c>
      <c r="C37" s="64" t="n">
        <f aca="false">P37</f>
        <v>0</v>
      </c>
      <c r="H37" s="110" t="n">
        <v>5811.95</v>
      </c>
      <c r="I37" s="110" t="n">
        <v>5528.58</v>
      </c>
      <c r="J37" s="110" t="n">
        <v>5365.7</v>
      </c>
      <c r="K37" s="110" t="n">
        <v>4986.84</v>
      </c>
      <c r="L37" s="110" t="n">
        <v>4676.98</v>
      </c>
    </row>
    <row r="38" customFormat="false" ht="15" hidden="false" customHeight="false" outlineLevel="0" collapsed="false">
      <c r="A38" s="28" t="s">
        <v>1866</v>
      </c>
      <c r="B38" s="63" t="s">
        <v>1837</v>
      </c>
      <c r="C38" s="64" t="n">
        <f aca="false">P38</f>
        <v>0</v>
      </c>
      <c r="I38" s="110" t="n">
        <v>4499.94</v>
      </c>
      <c r="J38" s="110" t="n">
        <v>4202.07</v>
      </c>
      <c r="K38" s="110" t="n">
        <v>4233.42</v>
      </c>
      <c r="L38" s="110" t="n">
        <v>4071.85</v>
      </c>
    </row>
    <row r="39" customFormat="false" ht="15" hidden="false" customHeight="false" outlineLevel="0" collapsed="false">
      <c r="A39" s="28" t="s">
        <v>1867</v>
      </c>
      <c r="B39" s="63" t="s">
        <v>1837</v>
      </c>
      <c r="C39" s="64" t="n">
        <f aca="false">P39</f>
        <v>0</v>
      </c>
      <c r="J39" s="110" t="n">
        <v>6642.93</v>
      </c>
      <c r="K39" s="110" t="n">
        <v>6471.32</v>
      </c>
      <c r="L39" s="110" t="n">
        <v>6163.06</v>
      </c>
    </row>
    <row r="40" customFormat="false" ht="15" hidden="false" customHeight="false" outlineLevel="0" collapsed="false">
      <c r="A40" s="28" t="s">
        <v>1868</v>
      </c>
      <c r="B40" s="63" t="s">
        <v>1837</v>
      </c>
      <c r="C40" s="64" t="n">
        <f aca="false">P40</f>
        <v>0</v>
      </c>
      <c r="K40" s="110" t="n">
        <v>6680.55</v>
      </c>
      <c r="L40" s="110" t="n">
        <v>6005.68</v>
      </c>
    </row>
    <row r="41" customFormat="false" ht="15" hidden="false" customHeight="false" outlineLevel="0" collapsed="false">
      <c r="A41" s="28" t="s">
        <v>1869</v>
      </c>
      <c r="B41" s="63" t="s">
        <v>1837</v>
      </c>
      <c r="C41" s="64" t="n">
        <f aca="false">P41</f>
        <v>0</v>
      </c>
      <c r="L41" s="110" t="n">
        <v>4399.24</v>
      </c>
    </row>
    <row r="42" customFormat="false" ht="15" hidden="false" customHeight="false" outlineLevel="0" collapsed="false">
      <c r="A42" s="22" t="s">
        <v>1870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customFormat="false" ht="15" hidden="false" customHeight="false" outlineLevel="0" collapsed="false">
      <c r="A43" s="28" t="s">
        <v>1871</v>
      </c>
      <c r="B43" s="63" t="s">
        <v>1837</v>
      </c>
      <c r="C43" s="143" t="n">
        <f aca="false">P43</f>
        <v>0</v>
      </c>
      <c r="E43" s="139" t="n">
        <v>288</v>
      </c>
      <c r="F43" s="139" t="n">
        <v>280</v>
      </c>
      <c r="G43" s="139" t="n">
        <v>277</v>
      </c>
      <c r="H43" s="139" t="n">
        <v>271</v>
      </c>
      <c r="I43" s="139" t="n">
        <v>264</v>
      </c>
      <c r="J43" s="139" t="n">
        <v>257</v>
      </c>
      <c r="K43" s="139" t="n">
        <v>257</v>
      </c>
      <c r="L43" s="139" t="n">
        <v>250</v>
      </c>
    </row>
    <row r="44" customFormat="false" ht="15" hidden="false" customHeight="false" outlineLevel="0" collapsed="false">
      <c r="A44" s="28" t="s">
        <v>1872</v>
      </c>
      <c r="B44" s="63" t="s">
        <v>1837</v>
      </c>
      <c r="C44" s="143" t="n">
        <f aca="false">P44</f>
        <v>0</v>
      </c>
      <c r="E44" s="139" t="n">
        <v>14</v>
      </c>
      <c r="F44" s="139" t="n">
        <v>14</v>
      </c>
      <c r="G44" s="139" t="n">
        <v>13</v>
      </c>
      <c r="H44" s="139" t="n">
        <v>13</v>
      </c>
      <c r="I44" s="139" t="n">
        <v>13</v>
      </c>
      <c r="J44" s="139" t="n">
        <v>13</v>
      </c>
      <c r="K44" s="139" t="n">
        <v>13</v>
      </c>
      <c r="L44" s="139" t="n">
        <v>13</v>
      </c>
    </row>
    <row r="45" customFormat="false" ht="15" hidden="false" customHeight="false" outlineLevel="0" collapsed="false">
      <c r="A45" s="28" t="s">
        <v>1873</v>
      </c>
      <c r="B45" s="63" t="s">
        <v>1837</v>
      </c>
      <c r="C45" s="143" t="n">
        <f aca="false">P45</f>
        <v>0</v>
      </c>
      <c r="E45" s="139" t="n">
        <v>17</v>
      </c>
      <c r="F45" s="139" t="n">
        <v>17</v>
      </c>
      <c r="G45" s="139" t="n">
        <v>17</v>
      </c>
      <c r="H45" s="139" t="n">
        <v>17</v>
      </c>
      <c r="I45" s="139" t="n">
        <v>17</v>
      </c>
      <c r="J45" s="139" t="n">
        <v>17</v>
      </c>
      <c r="K45" s="139" t="n">
        <v>16</v>
      </c>
      <c r="L45" s="139" t="n">
        <v>16</v>
      </c>
    </row>
    <row r="46" customFormat="false" ht="15" hidden="false" customHeight="false" outlineLevel="0" collapsed="false">
      <c r="A46" s="28" t="s">
        <v>1874</v>
      </c>
      <c r="B46" s="63" t="s">
        <v>1837</v>
      </c>
      <c r="C46" s="143" t="n">
        <f aca="false">P46</f>
        <v>0</v>
      </c>
      <c r="E46" s="139" t="n">
        <v>14</v>
      </c>
      <c r="F46" s="139" t="n">
        <v>14</v>
      </c>
      <c r="G46" s="139" t="n">
        <v>14</v>
      </c>
      <c r="H46" s="139" t="n">
        <v>14</v>
      </c>
      <c r="I46" s="139" t="n">
        <v>13</v>
      </c>
      <c r="J46" s="139" t="n">
        <v>13</v>
      </c>
      <c r="K46" s="139" t="n">
        <v>13</v>
      </c>
      <c r="L46" s="139" t="n">
        <v>13</v>
      </c>
    </row>
    <row r="47" customFormat="false" ht="15" hidden="false" customHeight="false" outlineLevel="0" collapsed="false">
      <c r="A47" s="28" t="s">
        <v>1875</v>
      </c>
      <c r="B47" s="63" t="s">
        <v>1837</v>
      </c>
      <c r="C47" s="143" t="n">
        <f aca="false">P47</f>
        <v>0</v>
      </c>
      <c r="E47" s="139" t="n">
        <v>15</v>
      </c>
      <c r="F47" s="139" t="n">
        <v>15</v>
      </c>
      <c r="G47" s="139" t="n">
        <v>15</v>
      </c>
      <c r="H47" s="139" t="n">
        <v>14</v>
      </c>
      <c r="I47" s="139" t="n">
        <v>14</v>
      </c>
      <c r="J47" s="139" t="n">
        <v>14</v>
      </c>
      <c r="K47" s="139" t="n">
        <v>14</v>
      </c>
      <c r="L47" s="139" t="n">
        <v>13</v>
      </c>
    </row>
    <row r="48" customFormat="false" ht="15" hidden="false" customHeight="false" outlineLevel="0" collapsed="false">
      <c r="A48" s="28" t="s">
        <v>1876</v>
      </c>
      <c r="B48" s="63" t="s">
        <v>1837</v>
      </c>
      <c r="C48" s="143" t="n">
        <f aca="false">P48</f>
        <v>0</v>
      </c>
      <c r="E48" s="139" t="n">
        <v>10</v>
      </c>
      <c r="F48" s="139" t="n">
        <v>10</v>
      </c>
      <c r="G48" s="139" t="n">
        <v>9</v>
      </c>
      <c r="H48" s="139" t="n">
        <v>9</v>
      </c>
      <c r="I48" s="139" t="n">
        <v>9</v>
      </c>
      <c r="J48" s="139" t="n">
        <v>9</v>
      </c>
      <c r="K48" s="139" t="n">
        <v>9</v>
      </c>
      <c r="L48" s="139" t="n">
        <v>9</v>
      </c>
    </row>
    <row r="49" customFormat="false" ht="15" hidden="false" customHeight="false" outlineLevel="0" collapsed="false">
      <c r="A49" s="28" t="s">
        <v>1877</v>
      </c>
      <c r="B49" s="63" t="s">
        <v>1837</v>
      </c>
      <c r="C49" s="143" t="n">
        <f aca="false">P49</f>
        <v>0</v>
      </c>
      <c r="E49" s="139" t="n">
        <v>8</v>
      </c>
      <c r="F49" s="139" t="n">
        <v>7</v>
      </c>
      <c r="G49" s="139" t="n">
        <v>7</v>
      </c>
      <c r="H49" s="139" t="n">
        <v>7</v>
      </c>
      <c r="I49" s="139" t="n">
        <v>6</v>
      </c>
      <c r="J49" s="139" t="n">
        <v>6</v>
      </c>
      <c r="K49" s="139" t="n">
        <v>6</v>
      </c>
      <c r="L49" s="139" t="n">
        <v>6</v>
      </c>
    </row>
    <row r="50" customFormat="false" ht="15" hidden="false" customHeight="false" outlineLevel="0" collapsed="false">
      <c r="A50" s="28" t="s">
        <v>1878</v>
      </c>
      <c r="B50" s="63" t="s">
        <v>1837</v>
      </c>
      <c r="C50" s="143" t="n">
        <f aca="false">P50</f>
        <v>0</v>
      </c>
      <c r="E50" s="139" t="n">
        <v>16</v>
      </c>
      <c r="F50" s="139" t="n">
        <v>16</v>
      </c>
      <c r="G50" s="139" t="n">
        <v>16</v>
      </c>
      <c r="H50" s="139" t="n">
        <v>16</v>
      </c>
      <c r="I50" s="139" t="n">
        <v>16</v>
      </c>
      <c r="J50" s="139" t="n">
        <v>16</v>
      </c>
      <c r="K50" s="139" t="n">
        <v>16</v>
      </c>
      <c r="L50" s="139" t="n">
        <v>16</v>
      </c>
    </row>
    <row r="51" customFormat="false" ht="15" hidden="false" customHeight="false" outlineLevel="0" collapsed="false">
      <c r="A51" s="28" t="s">
        <v>1879</v>
      </c>
      <c r="B51" s="63" t="s">
        <v>1837</v>
      </c>
      <c r="C51" s="143" t="n">
        <f aca="false">P51</f>
        <v>0</v>
      </c>
      <c r="E51" s="139" t="n">
        <v>10</v>
      </c>
      <c r="F51" s="139" t="n">
        <v>10</v>
      </c>
      <c r="G51" s="139" t="n">
        <v>9</v>
      </c>
      <c r="H51" s="139" t="n">
        <v>9</v>
      </c>
      <c r="I51" s="139" t="n">
        <v>8</v>
      </c>
      <c r="J51" s="139" t="n">
        <v>8</v>
      </c>
      <c r="K51" s="139" t="n">
        <v>8</v>
      </c>
      <c r="L51" s="139" t="n">
        <v>8</v>
      </c>
    </row>
    <row r="52" customFormat="false" ht="15" hidden="false" customHeight="false" outlineLevel="0" collapsed="false">
      <c r="A52" s="28" t="s">
        <v>1880</v>
      </c>
      <c r="B52" s="63" t="s">
        <v>1837</v>
      </c>
      <c r="C52" s="143" t="n">
        <f aca="false">P52</f>
        <v>0</v>
      </c>
      <c r="E52" s="139" t="n">
        <v>17</v>
      </c>
      <c r="F52" s="139" t="n">
        <v>17</v>
      </c>
      <c r="G52" s="139" t="n">
        <v>16</v>
      </c>
      <c r="H52" s="139" t="n">
        <v>16</v>
      </c>
      <c r="I52" s="139" t="n">
        <v>16</v>
      </c>
      <c r="J52" s="139" t="n">
        <v>14</v>
      </c>
      <c r="K52" s="139" t="n">
        <v>14</v>
      </c>
      <c r="L52" s="139" t="n">
        <v>13</v>
      </c>
    </row>
    <row r="53" customFormat="false" ht="15" hidden="false" customHeight="false" outlineLevel="0" collapsed="false">
      <c r="A53" s="28" t="s">
        <v>1881</v>
      </c>
      <c r="B53" s="63" t="s">
        <v>1837</v>
      </c>
      <c r="C53" s="143" t="n">
        <f aca="false">P53</f>
        <v>0</v>
      </c>
      <c r="E53" s="139" t="n">
        <v>18</v>
      </c>
      <c r="F53" s="139" t="n">
        <v>17</v>
      </c>
      <c r="G53" s="139" t="n">
        <v>16</v>
      </c>
      <c r="H53" s="139" t="n">
        <v>16</v>
      </c>
      <c r="I53" s="139" t="n">
        <v>15</v>
      </c>
      <c r="J53" s="139" t="n">
        <v>15</v>
      </c>
      <c r="K53" s="139" t="n">
        <v>15</v>
      </c>
      <c r="L53" s="139" t="n">
        <v>14</v>
      </c>
    </row>
    <row r="54" customFormat="false" ht="15" hidden="false" customHeight="false" outlineLevel="0" collapsed="false">
      <c r="A54" s="28" t="s">
        <v>1882</v>
      </c>
      <c r="B54" s="63" t="s">
        <v>1837</v>
      </c>
      <c r="C54" s="143" t="n">
        <f aca="false">P54</f>
        <v>0</v>
      </c>
      <c r="E54" s="139" t="n">
        <v>14</v>
      </c>
      <c r="F54" s="139" t="n">
        <v>13</v>
      </c>
      <c r="G54" s="139" t="n">
        <v>12</v>
      </c>
      <c r="H54" s="139" t="n">
        <v>12</v>
      </c>
      <c r="I54" s="139" t="n">
        <v>12</v>
      </c>
      <c r="J54" s="139" t="n">
        <v>12</v>
      </c>
      <c r="K54" s="139" t="n">
        <v>12</v>
      </c>
      <c r="L54" s="139" t="n">
        <v>12</v>
      </c>
    </row>
    <row r="55" customFormat="false" ht="15" hidden="false" customHeight="false" outlineLevel="0" collapsed="false">
      <c r="A55" s="28" t="s">
        <v>1883</v>
      </c>
      <c r="B55" s="63" t="s">
        <v>1837</v>
      </c>
      <c r="C55" s="143" t="n">
        <f aca="false">P55</f>
        <v>0</v>
      </c>
      <c r="E55" s="139" t="n">
        <v>10</v>
      </c>
      <c r="F55" s="139" t="n">
        <v>10</v>
      </c>
      <c r="G55" s="139" t="n">
        <v>10</v>
      </c>
      <c r="H55" s="139" t="n">
        <v>9</v>
      </c>
      <c r="I55" s="139" t="n">
        <v>9</v>
      </c>
      <c r="J55" s="139" t="n">
        <v>8</v>
      </c>
      <c r="K55" s="139" t="n">
        <v>8</v>
      </c>
      <c r="L55" s="139" t="n">
        <v>8</v>
      </c>
    </row>
    <row r="56" customFormat="false" ht="15" hidden="false" customHeight="false" outlineLevel="0" collapsed="false">
      <c r="A56" s="28" t="s">
        <v>1884</v>
      </c>
      <c r="B56" s="63" t="s">
        <v>1837</v>
      </c>
      <c r="C56" s="143" t="n">
        <f aca="false">P56</f>
        <v>0</v>
      </c>
      <c r="E56" s="139" t="n">
        <v>25</v>
      </c>
      <c r="F56" s="139" t="n">
        <v>25</v>
      </c>
      <c r="G56" s="139" t="n">
        <v>25</v>
      </c>
      <c r="H56" s="139" t="n">
        <v>25</v>
      </c>
      <c r="I56" s="139" t="n">
        <v>25</v>
      </c>
      <c r="J56" s="139" t="n">
        <v>25</v>
      </c>
      <c r="K56" s="139" t="n">
        <v>24</v>
      </c>
      <c r="L56" s="139" t="n">
        <v>24</v>
      </c>
    </row>
    <row r="57" customFormat="false" ht="15" hidden="false" customHeight="false" outlineLevel="0" collapsed="false">
      <c r="A57" s="28" t="s">
        <v>1885</v>
      </c>
      <c r="B57" s="63" t="s">
        <v>1837</v>
      </c>
      <c r="C57" s="143" t="n">
        <f aca="false">P57</f>
        <v>0</v>
      </c>
      <c r="E57" s="139" t="n">
        <v>41</v>
      </c>
      <c r="F57" s="139" t="n">
        <v>41</v>
      </c>
      <c r="G57" s="139" t="n">
        <v>39</v>
      </c>
      <c r="H57" s="139" t="n">
        <v>38</v>
      </c>
      <c r="I57" s="139" t="n">
        <v>37</v>
      </c>
      <c r="J57" s="139" t="n">
        <v>35</v>
      </c>
      <c r="K57" s="139" t="n">
        <v>35</v>
      </c>
      <c r="L57" s="139" t="n">
        <v>35</v>
      </c>
    </row>
    <row r="58" customFormat="false" ht="15" hidden="false" customHeight="false" outlineLevel="0" collapsed="false">
      <c r="A58" s="28" t="s">
        <v>1886</v>
      </c>
      <c r="B58" s="63" t="s">
        <v>1837</v>
      </c>
      <c r="C58" s="143" t="n">
        <f aca="false">P58</f>
        <v>0</v>
      </c>
      <c r="E58" s="139" t="n">
        <v>16</v>
      </c>
      <c r="F58" s="139" t="n">
        <v>16</v>
      </c>
      <c r="G58" s="139" t="n">
        <v>16</v>
      </c>
      <c r="H58" s="139" t="n">
        <v>15</v>
      </c>
      <c r="I58" s="139" t="n">
        <v>14</v>
      </c>
      <c r="J58" s="139" t="n">
        <v>14</v>
      </c>
      <c r="K58" s="139" t="n">
        <v>13</v>
      </c>
      <c r="L58" s="139" t="n">
        <v>13</v>
      </c>
    </row>
    <row r="59" customFormat="false" ht="15" hidden="false" customHeight="false" outlineLevel="0" collapsed="false">
      <c r="A59" s="28" t="s">
        <v>1887</v>
      </c>
      <c r="B59" s="63" t="s">
        <v>1837</v>
      </c>
      <c r="C59" s="143" t="n">
        <f aca="false">P59</f>
        <v>0</v>
      </c>
      <c r="E59" s="139" t="n">
        <v>15</v>
      </c>
      <c r="F59" s="139" t="n">
        <v>12</v>
      </c>
      <c r="G59" s="139" t="n">
        <v>12</v>
      </c>
      <c r="H59" s="139" t="n">
        <v>11</v>
      </c>
      <c r="I59" s="139" t="n">
        <v>11</v>
      </c>
      <c r="J59" s="139" t="n">
        <v>11</v>
      </c>
      <c r="K59" s="139" t="n">
        <v>11</v>
      </c>
      <c r="L59" s="139" t="n">
        <v>11</v>
      </c>
    </row>
    <row r="60" customFormat="false" ht="15" hidden="false" customHeight="false" outlineLevel="0" collapsed="false">
      <c r="A60" s="28" t="s">
        <v>1888</v>
      </c>
      <c r="B60" s="63" t="s">
        <v>1837</v>
      </c>
      <c r="C60" s="143" t="n">
        <f aca="false">P60</f>
        <v>0</v>
      </c>
      <c r="E60" s="139" t="n">
        <v>19</v>
      </c>
      <c r="F60" s="139" t="n">
        <v>18</v>
      </c>
      <c r="G60" s="139" t="n">
        <v>17</v>
      </c>
      <c r="H60" s="139" t="n">
        <v>17</v>
      </c>
      <c r="I60" s="139" t="n">
        <v>17</v>
      </c>
      <c r="J60" s="139" t="n">
        <v>17</v>
      </c>
      <c r="K60" s="139" t="n">
        <v>17</v>
      </c>
      <c r="L60" s="139" t="n">
        <v>17</v>
      </c>
    </row>
    <row r="61" customFormat="false" ht="15" hidden="false" customHeight="false" outlineLevel="0" collapsed="false">
      <c r="A61" s="28" t="s">
        <v>1889</v>
      </c>
      <c r="B61" s="63" t="s">
        <v>1837</v>
      </c>
      <c r="C61" s="143" t="n">
        <f aca="false">P61</f>
        <v>0</v>
      </c>
      <c r="E61" s="139" t="n">
        <v>21</v>
      </c>
      <c r="F61" s="139" t="n">
        <v>20</v>
      </c>
      <c r="G61" s="139" t="n">
        <v>20</v>
      </c>
      <c r="H61" s="139" t="n">
        <v>18</v>
      </c>
      <c r="I61" s="139" t="n">
        <v>18</v>
      </c>
      <c r="J61" s="139" t="n">
        <v>16</v>
      </c>
      <c r="K61" s="139" t="n">
        <v>15</v>
      </c>
      <c r="L61" s="139" t="n">
        <v>14</v>
      </c>
    </row>
    <row r="62" customFormat="false" ht="15" hidden="false" customHeight="false" outlineLevel="0" collapsed="false">
      <c r="A62" s="28" t="s">
        <v>1890</v>
      </c>
      <c r="B62" s="63" t="s">
        <v>1837</v>
      </c>
      <c r="C62" s="143" t="n">
        <f aca="false">P62</f>
        <v>0</v>
      </c>
      <c r="E62" s="139" t="n">
        <v>22</v>
      </c>
      <c r="F62" s="139" t="n">
        <v>21</v>
      </c>
      <c r="G62" s="139" t="n">
        <v>21</v>
      </c>
      <c r="H62" s="139" t="n">
        <v>20</v>
      </c>
      <c r="I62" s="139" t="n">
        <v>19</v>
      </c>
      <c r="J62" s="139" t="n">
        <v>18</v>
      </c>
      <c r="K62" s="139" t="n">
        <v>18</v>
      </c>
      <c r="L62" s="139" t="n">
        <v>18</v>
      </c>
    </row>
    <row r="63" customFormat="false" ht="15" hidden="false" customHeight="false" outlineLevel="0" collapsed="false">
      <c r="A63" s="28" t="s">
        <v>1891</v>
      </c>
      <c r="B63" s="63" t="s">
        <v>1837</v>
      </c>
      <c r="C63" s="143" t="n">
        <f aca="false">P63</f>
        <v>0</v>
      </c>
      <c r="E63" s="139" t="n">
        <v>17</v>
      </c>
      <c r="F63" s="139" t="n">
        <v>16</v>
      </c>
      <c r="G63" s="139" t="n">
        <v>16</v>
      </c>
      <c r="H63" s="139" t="n">
        <v>16</v>
      </c>
      <c r="I63" s="139" t="n">
        <v>16</v>
      </c>
      <c r="J63" s="139" t="n">
        <v>15</v>
      </c>
      <c r="K63" s="139" t="n">
        <v>14</v>
      </c>
      <c r="L63" s="139" t="n">
        <v>13</v>
      </c>
    </row>
    <row r="64" customFormat="false" ht="15" hidden="false" customHeight="false" outlineLevel="0" collapsed="false">
      <c r="A64" s="28" t="s">
        <v>1892</v>
      </c>
      <c r="B64" s="63" t="s">
        <v>1837</v>
      </c>
      <c r="C64" s="143" t="n">
        <f aca="false">P64</f>
        <v>0</v>
      </c>
      <c r="E64" s="139" t="n">
        <v>4</v>
      </c>
      <c r="F64" s="139" t="n">
        <v>4</v>
      </c>
      <c r="G64" s="139" t="n">
        <v>4</v>
      </c>
      <c r="H64" s="139" t="n">
        <v>4</v>
      </c>
      <c r="I64" s="139" t="n">
        <v>3</v>
      </c>
      <c r="J64" s="139" t="n">
        <v>3</v>
      </c>
      <c r="K64" s="139" t="n">
        <v>3</v>
      </c>
      <c r="L64" s="139" t="n">
        <v>3</v>
      </c>
    </row>
    <row r="65" customFormat="false" ht="15" hidden="false" customHeight="false" outlineLevel="0" collapsed="false">
      <c r="A65" s="28" t="s">
        <v>1893</v>
      </c>
      <c r="B65" s="63" t="s">
        <v>1837</v>
      </c>
      <c r="C65" s="143" t="n">
        <f aca="false">P65</f>
        <v>0</v>
      </c>
      <c r="E65" s="139" t="n">
        <v>28</v>
      </c>
      <c r="F65" s="139" t="n">
        <v>27</v>
      </c>
      <c r="G65" s="139" t="n">
        <v>27</v>
      </c>
      <c r="H65" s="139" t="n">
        <v>27</v>
      </c>
      <c r="I65" s="139" t="n">
        <v>26</v>
      </c>
      <c r="J65" s="139" t="n">
        <v>25</v>
      </c>
      <c r="K65" s="139" t="n">
        <v>24</v>
      </c>
      <c r="L65" s="139" t="n">
        <v>22</v>
      </c>
    </row>
    <row r="66" customFormat="false" ht="15" hidden="false" customHeight="false" outlineLevel="0" collapsed="false">
      <c r="A66" s="28" t="s">
        <v>1894</v>
      </c>
      <c r="B66" s="63" t="s">
        <v>1837</v>
      </c>
      <c r="C66" s="143" t="n">
        <f aca="false">P66</f>
        <v>0</v>
      </c>
      <c r="E66" s="139" t="n">
        <v>24</v>
      </c>
      <c r="F66" s="139" t="n">
        <v>22</v>
      </c>
      <c r="G66" s="139" t="n">
        <v>20</v>
      </c>
      <c r="H66" s="139" t="n">
        <v>19</v>
      </c>
      <c r="I66" s="139" t="n">
        <v>18</v>
      </c>
      <c r="J66" s="139" t="n">
        <v>17</v>
      </c>
      <c r="K66" s="139" t="n">
        <v>17</v>
      </c>
      <c r="L66" s="139" t="n">
        <v>16</v>
      </c>
    </row>
    <row r="67" customFormat="false" ht="15" hidden="false" customHeight="false" outlineLevel="0" collapsed="false">
      <c r="A67" s="28" t="s">
        <v>1895</v>
      </c>
      <c r="B67" s="63" t="s">
        <v>1837</v>
      </c>
      <c r="C67" s="143" t="n">
        <f aca="false">P67</f>
        <v>0</v>
      </c>
      <c r="E67" s="139" t="n">
        <v>24</v>
      </c>
      <c r="F67" s="139" t="n">
        <v>22</v>
      </c>
      <c r="G67" s="139" t="n">
        <v>22</v>
      </c>
      <c r="H67" s="139" t="n">
        <v>21</v>
      </c>
      <c r="I67" s="139" t="n">
        <v>20</v>
      </c>
      <c r="J67" s="139" t="n">
        <v>18</v>
      </c>
      <c r="K67" s="139" t="n">
        <v>18</v>
      </c>
      <c r="L67" s="139" t="n">
        <v>18</v>
      </c>
    </row>
    <row r="68" customFormat="false" ht="15" hidden="false" customHeight="false" outlineLevel="0" collapsed="false">
      <c r="A68" s="28" t="s">
        <v>1896</v>
      </c>
      <c r="B68" s="63" t="s">
        <v>1837</v>
      </c>
      <c r="C68" s="143" t="n">
        <f aca="false">P68</f>
        <v>0</v>
      </c>
      <c r="E68" s="139" t="n">
        <v>31</v>
      </c>
      <c r="F68" s="139" t="n">
        <v>29</v>
      </c>
      <c r="G68" s="139" t="n">
        <v>29</v>
      </c>
      <c r="H68" s="139" t="n">
        <v>27</v>
      </c>
      <c r="I68" s="139" t="n">
        <v>26</v>
      </c>
      <c r="J68" s="139" t="n">
        <v>24</v>
      </c>
      <c r="K68" s="139" t="n">
        <v>24</v>
      </c>
      <c r="L68" s="139" t="n">
        <v>24</v>
      </c>
    </row>
    <row r="69" customFormat="false" ht="15" hidden="false" customHeight="false" outlineLevel="0" collapsed="false">
      <c r="A69" s="28" t="s">
        <v>1897</v>
      </c>
      <c r="B69" s="63" t="s">
        <v>1837</v>
      </c>
      <c r="C69" s="143" t="n">
        <f aca="false">P69</f>
        <v>0</v>
      </c>
      <c r="F69" s="139" t="n">
        <v>35</v>
      </c>
      <c r="G69" s="139" t="n">
        <v>33</v>
      </c>
      <c r="H69" s="139" t="n">
        <v>32</v>
      </c>
      <c r="I69" s="139" t="n">
        <v>32</v>
      </c>
      <c r="J69" s="139" t="n">
        <v>28</v>
      </c>
      <c r="K69" s="139" t="n">
        <v>26</v>
      </c>
      <c r="L69" s="139" t="n">
        <v>25</v>
      </c>
    </row>
    <row r="70" customFormat="false" ht="15" hidden="false" customHeight="false" outlineLevel="0" collapsed="false">
      <c r="A70" s="28" t="s">
        <v>1898</v>
      </c>
      <c r="B70" s="63" t="s">
        <v>1837</v>
      </c>
      <c r="C70" s="143" t="n">
        <f aca="false">P70</f>
        <v>0</v>
      </c>
      <c r="G70" s="139" t="n">
        <v>35</v>
      </c>
      <c r="H70" s="139" t="n">
        <v>33</v>
      </c>
      <c r="I70" s="139" t="n">
        <v>31</v>
      </c>
      <c r="J70" s="139" t="n">
        <v>28</v>
      </c>
      <c r="K70" s="139" t="n">
        <v>27</v>
      </c>
      <c r="L70" s="139" t="n">
        <v>27</v>
      </c>
    </row>
    <row r="71" customFormat="false" ht="15" hidden="false" customHeight="false" outlineLevel="0" collapsed="false">
      <c r="A71" s="28" t="s">
        <v>1899</v>
      </c>
      <c r="B71" s="63" t="s">
        <v>1837</v>
      </c>
      <c r="C71" s="143" t="n">
        <f aca="false">P71</f>
        <v>0</v>
      </c>
      <c r="H71" s="139" t="n">
        <v>29</v>
      </c>
      <c r="I71" s="139" t="n">
        <v>27</v>
      </c>
      <c r="J71" s="139" t="n">
        <v>26</v>
      </c>
      <c r="K71" s="139" t="n">
        <v>24</v>
      </c>
      <c r="L71" s="139" t="n">
        <v>22</v>
      </c>
    </row>
    <row r="72" customFormat="false" ht="15" hidden="false" customHeight="false" outlineLevel="0" collapsed="false">
      <c r="A72" s="28" t="s">
        <v>1900</v>
      </c>
      <c r="B72" s="63" t="s">
        <v>1837</v>
      </c>
      <c r="C72" s="143" t="n">
        <f aca="false">P72</f>
        <v>0</v>
      </c>
      <c r="I72" s="139" t="n">
        <v>21</v>
      </c>
      <c r="J72" s="139" t="n">
        <v>19</v>
      </c>
      <c r="K72" s="139" t="n">
        <v>19</v>
      </c>
      <c r="L72" s="139" t="n">
        <v>18</v>
      </c>
    </row>
    <row r="73" customFormat="false" ht="15" hidden="false" customHeight="false" outlineLevel="0" collapsed="false">
      <c r="A73" s="28" t="s">
        <v>1901</v>
      </c>
      <c r="B73" s="63" t="s">
        <v>1837</v>
      </c>
      <c r="C73" s="143" t="n">
        <f aca="false">P73</f>
        <v>0</v>
      </c>
      <c r="J73" s="139" t="n">
        <v>32</v>
      </c>
      <c r="K73" s="139" t="n">
        <v>31</v>
      </c>
      <c r="L73" s="139" t="n">
        <v>29</v>
      </c>
    </row>
    <row r="74" customFormat="false" ht="15" hidden="false" customHeight="false" outlineLevel="0" collapsed="false">
      <c r="A74" s="28" t="s">
        <v>1902</v>
      </c>
      <c r="B74" s="63" t="s">
        <v>1837</v>
      </c>
      <c r="C74" s="143" t="n">
        <f aca="false">P74</f>
        <v>0</v>
      </c>
      <c r="K74" s="139" t="n">
        <v>34</v>
      </c>
      <c r="L74" s="139" t="n">
        <v>30</v>
      </c>
    </row>
    <row r="75" customFormat="false" ht="15" hidden="false" customHeight="false" outlineLevel="0" collapsed="false">
      <c r="A75" s="28" t="s">
        <v>1903</v>
      </c>
      <c r="B75" s="63" t="s">
        <v>1837</v>
      </c>
      <c r="C75" s="143" t="n">
        <f aca="false">P75</f>
        <v>0</v>
      </c>
      <c r="L75" s="139" t="n">
        <v>21</v>
      </c>
    </row>
    <row r="76" customFormat="false" ht="15" hidden="false" customHeight="false" outlineLevel="0" collapsed="false">
      <c r="A76" s="22" t="s">
        <v>1904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row>
    <row r="77" customFormat="false" ht="15" hidden="false" customHeight="false" outlineLevel="0" collapsed="false">
      <c r="A77" s="28" t="s">
        <v>1905</v>
      </c>
      <c r="B77" s="63" t="s">
        <v>1837</v>
      </c>
      <c r="C77" s="64" t="n">
        <f aca="false">P77</f>
        <v>0</v>
      </c>
      <c r="E77" s="110" t="n">
        <v>14832.52</v>
      </c>
      <c r="F77" s="110" t="n">
        <v>14928.82</v>
      </c>
      <c r="G77" s="110" t="n">
        <v>15041.5</v>
      </c>
      <c r="H77" s="110" t="n">
        <v>15107.75</v>
      </c>
      <c r="I77" s="110" t="n">
        <v>15263.08</v>
      </c>
      <c r="J77" s="110" t="n">
        <v>15367.67</v>
      </c>
      <c r="K77" s="110" t="n">
        <v>15431.49</v>
      </c>
      <c r="L77" s="110" t="n">
        <v>15500.66</v>
      </c>
    </row>
    <row r="78" customFormat="false" ht="15" hidden="false" customHeight="false" outlineLevel="0" collapsed="false">
      <c r="A78" s="28" t="s">
        <v>1906</v>
      </c>
      <c r="B78" s="63" t="s">
        <v>1837</v>
      </c>
      <c r="C78" s="64" t="n">
        <f aca="false">P78</f>
        <v>0</v>
      </c>
      <c r="E78" s="110" t="n">
        <v>8478.83</v>
      </c>
      <c r="F78" s="110" t="n">
        <v>7283.21</v>
      </c>
      <c r="G78" s="110" t="n">
        <v>7308.26</v>
      </c>
      <c r="H78" s="110" t="n">
        <v>7346.83</v>
      </c>
      <c r="I78" s="110" t="n">
        <v>7404.62</v>
      </c>
      <c r="J78" s="110" t="n">
        <v>7480.1</v>
      </c>
      <c r="K78" s="110" t="n">
        <v>7542.95</v>
      </c>
      <c r="L78" s="110" t="n">
        <v>7564.35</v>
      </c>
    </row>
    <row r="79" customFormat="false" ht="15" hidden="false" customHeight="false" outlineLevel="0" collapsed="false">
      <c r="A79" s="28" t="s">
        <v>1907</v>
      </c>
      <c r="B79" s="63" t="s">
        <v>1837</v>
      </c>
      <c r="C79" s="64" t="n">
        <f aca="false">P79</f>
        <v>0</v>
      </c>
      <c r="E79" s="110" t="n">
        <v>8793.05</v>
      </c>
      <c r="F79" s="110" t="n">
        <v>8831.08</v>
      </c>
      <c r="G79" s="110" t="n">
        <v>6733.47</v>
      </c>
      <c r="H79" s="110" t="n">
        <v>6791.07</v>
      </c>
      <c r="I79" s="110" t="n">
        <v>6831.38</v>
      </c>
      <c r="J79" s="110" t="n">
        <v>6880.55</v>
      </c>
      <c r="K79" s="110" t="n">
        <v>6904.71</v>
      </c>
      <c r="L79" s="110" t="n">
        <v>6934.45</v>
      </c>
    </row>
    <row r="80" customFormat="false" ht="15" hidden="false" customHeight="false" outlineLevel="0" collapsed="false">
      <c r="A80" s="28" t="s">
        <v>1908</v>
      </c>
      <c r="B80" s="63" t="s">
        <v>1837</v>
      </c>
      <c r="C80" s="64" t="n">
        <f aca="false">P80</f>
        <v>0</v>
      </c>
      <c r="E80" s="110" t="n">
        <v>7350.25</v>
      </c>
      <c r="F80" s="110" t="n">
        <v>7396.43</v>
      </c>
      <c r="G80" s="110" t="n">
        <v>7450.85</v>
      </c>
      <c r="H80" s="110" t="n">
        <v>6979.48</v>
      </c>
      <c r="I80" s="110" t="n">
        <v>7010.68</v>
      </c>
      <c r="J80" s="110" t="n">
        <v>7068.59</v>
      </c>
      <c r="K80" s="110" t="n">
        <v>7114.13</v>
      </c>
      <c r="L80" s="110" t="n">
        <v>7132.85</v>
      </c>
    </row>
    <row r="81" customFormat="false" ht="15" hidden="false" customHeight="false" outlineLevel="0" collapsed="false">
      <c r="A81" s="28" t="s">
        <v>1909</v>
      </c>
      <c r="B81" s="63" t="s">
        <v>1837</v>
      </c>
      <c r="C81" s="64" t="n">
        <f aca="false">P81</f>
        <v>0</v>
      </c>
      <c r="E81" s="110" t="n">
        <v>7923.25</v>
      </c>
      <c r="F81" s="110" t="n">
        <v>7974.06</v>
      </c>
      <c r="G81" s="110" t="n">
        <v>7974.06</v>
      </c>
      <c r="H81" s="110" t="n">
        <v>8017.21</v>
      </c>
      <c r="I81" s="110" t="n">
        <v>7296.9</v>
      </c>
      <c r="J81" s="110" t="n">
        <v>7321.87</v>
      </c>
      <c r="K81" s="110" t="n">
        <v>7367.75</v>
      </c>
      <c r="L81" s="110" t="n">
        <v>7444.8</v>
      </c>
    </row>
    <row r="82" customFormat="false" ht="15" hidden="false" customHeight="false" outlineLevel="0" collapsed="false">
      <c r="A82" s="28" t="s">
        <v>1910</v>
      </c>
      <c r="B82" s="63" t="s">
        <v>1837</v>
      </c>
      <c r="C82" s="64" t="n">
        <f aca="false">P82</f>
        <v>0</v>
      </c>
      <c r="E82" s="110" t="n">
        <v>5621.91</v>
      </c>
      <c r="F82" s="110" t="n">
        <v>5635.27</v>
      </c>
      <c r="G82" s="110" t="n">
        <v>5674.89</v>
      </c>
      <c r="H82" s="110" t="n">
        <v>5705.91</v>
      </c>
      <c r="I82" s="110" t="n">
        <v>5766.66</v>
      </c>
      <c r="J82" s="110" t="n">
        <v>6434.25</v>
      </c>
      <c r="K82" s="110" t="n">
        <v>6472.84</v>
      </c>
      <c r="L82" s="110" t="n">
        <v>6486.5</v>
      </c>
    </row>
    <row r="83" customFormat="false" ht="15" hidden="false" customHeight="false" outlineLevel="0" collapsed="false">
      <c r="A83" s="28" t="s">
        <v>1911</v>
      </c>
      <c r="B83" s="63" t="s">
        <v>1837</v>
      </c>
      <c r="C83" s="64" t="n">
        <f aca="false">P83</f>
        <v>0</v>
      </c>
      <c r="E83" s="110" t="n">
        <v>5310.25</v>
      </c>
      <c r="F83" s="110" t="n">
        <v>5325.71</v>
      </c>
      <c r="G83" s="110" t="n">
        <v>5362.59</v>
      </c>
      <c r="H83" s="110" t="n">
        <v>5388.48</v>
      </c>
      <c r="I83" s="110" t="n">
        <v>5425.69</v>
      </c>
      <c r="J83" s="110" t="n">
        <v>5470.43</v>
      </c>
      <c r="K83" s="110" t="n">
        <v>5930.79</v>
      </c>
      <c r="L83" s="110" t="n">
        <v>5964.62</v>
      </c>
    </row>
    <row r="84" customFormat="false" ht="15" hidden="false" customHeight="false" outlineLevel="0" collapsed="false">
      <c r="A84" s="28" t="s">
        <v>1912</v>
      </c>
      <c r="B84" s="63" t="s">
        <v>1837</v>
      </c>
      <c r="C84" s="64" t="n">
        <f aca="false">P84</f>
        <v>0</v>
      </c>
      <c r="E84" s="110" t="n">
        <v>4353.7</v>
      </c>
      <c r="F84" s="110" t="n">
        <v>4381.18</v>
      </c>
      <c r="G84" s="110" t="n">
        <v>4386.63</v>
      </c>
      <c r="H84" s="110" t="n">
        <v>4429.1</v>
      </c>
      <c r="I84" s="110" t="n">
        <v>4443.13</v>
      </c>
      <c r="J84" s="110" t="n">
        <v>4465.25</v>
      </c>
      <c r="K84" s="110" t="n">
        <v>4465.78</v>
      </c>
      <c r="L84" s="110" t="n">
        <v>3728.02</v>
      </c>
    </row>
    <row r="85" customFormat="false" ht="15" hidden="false" customHeight="false" outlineLevel="0" collapsed="false">
      <c r="A85" s="28" t="s">
        <v>1913</v>
      </c>
      <c r="B85" s="63" t="s">
        <v>1837</v>
      </c>
      <c r="C85" s="64" t="n">
        <f aca="false">P85</f>
        <v>0</v>
      </c>
      <c r="E85" s="110" t="n">
        <v>5663.65</v>
      </c>
      <c r="F85" s="110" t="n">
        <v>5696.78</v>
      </c>
      <c r="G85" s="110" t="n">
        <v>5704.54</v>
      </c>
      <c r="H85" s="110" t="n">
        <v>5733.52</v>
      </c>
      <c r="I85" s="110" t="n">
        <v>5794.13</v>
      </c>
      <c r="J85" s="110" t="n">
        <v>5800.2</v>
      </c>
      <c r="K85" s="110" t="n">
        <v>5837.84</v>
      </c>
      <c r="L85" s="110" t="n">
        <v>5883.33</v>
      </c>
    </row>
    <row r="86" customFormat="false" ht="15" hidden="false" customHeight="false" outlineLevel="0" collapsed="false">
      <c r="A86" s="28" t="s">
        <v>1914</v>
      </c>
      <c r="B86" s="63" t="s">
        <v>1837</v>
      </c>
      <c r="C86" s="64" t="n">
        <f aca="false">P86</f>
        <v>0</v>
      </c>
      <c r="E86" s="110" t="n">
        <v>6673.17</v>
      </c>
      <c r="F86" s="110" t="n">
        <v>6705.88</v>
      </c>
      <c r="G86" s="110" t="n">
        <v>6748.33</v>
      </c>
      <c r="H86" s="110" t="n">
        <v>6780.36</v>
      </c>
      <c r="I86" s="110" t="n">
        <v>6804.17</v>
      </c>
      <c r="J86" s="110" t="n">
        <v>6827.79</v>
      </c>
      <c r="K86" s="110" t="n">
        <v>6877.84</v>
      </c>
      <c r="L86" s="110" t="n">
        <v>6925.73</v>
      </c>
    </row>
    <row r="87" customFormat="false" ht="15" hidden="false" customHeight="false" outlineLevel="0" collapsed="false">
      <c r="A87" s="28" t="s">
        <v>1915</v>
      </c>
      <c r="B87" s="63" t="s">
        <v>1837</v>
      </c>
      <c r="C87" s="64" t="n">
        <f aca="false">P87</f>
        <v>0</v>
      </c>
      <c r="E87" s="110" t="n">
        <v>3164.35</v>
      </c>
      <c r="F87" s="110" t="n">
        <v>3175.21</v>
      </c>
      <c r="G87" s="110" t="n">
        <v>3194.86</v>
      </c>
      <c r="H87" s="110" t="n">
        <v>3207.07</v>
      </c>
      <c r="I87" s="110" t="n">
        <v>3243.51</v>
      </c>
      <c r="J87" s="110" t="n">
        <v>3283.58</v>
      </c>
      <c r="K87" s="110" t="n">
        <v>3285.03</v>
      </c>
      <c r="L87" s="110" t="n">
        <v>3308.08</v>
      </c>
    </row>
    <row r="88" customFormat="false" ht="15" hidden="false" customHeight="false" outlineLevel="0" collapsed="false">
      <c r="A88" s="28" t="s">
        <v>1916</v>
      </c>
      <c r="B88" s="63" t="s">
        <v>1837</v>
      </c>
      <c r="C88" s="64" t="n">
        <f aca="false">P88</f>
        <v>0</v>
      </c>
      <c r="E88" s="110" t="n">
        <v>5220.36</v>
      </c>
      <c r="F88" s="110" t="n">
        <v>5232.16</v>
      </c>
      <c r="G88" s="110" t="n">
        <v>5251.44</v>
      </c>
      <c r="H88" s="110" t="n">
        <v>5251.44</v>
      </c>
      <c r="I88" s="110" t="n">
        <v>5295.48</v>
      </c>
      <c r="J88" s="110" t="n">
        <v>5313.13</v>
      </c>
      <c r="K88" s="110" t="n">
        <v>5346.79</v>
      </c>
      <c r="L88" s="110" t="n">
        <v>5376.4</v>
      </c>
    </row>
    <row r="89" customFormat="false" ht="15" hidden="false" customHeight="false" outlineLevel="0" collapsed="false">
      <c r="A89" s="28" t="s">
        <v>1917</v>
      </c>
      <c r="B89" s="63" t="s">
        <v>1837</v>
      </c>
      <c r="C89" s="64" t="n">
        <f aca="false">P89</f>
        <v>0</v>
      </c>
      <c r="E89" s="110" t="n">
        <v>0</v>
      </c>
      <c r="F89" s="110" t="n">
        <v>0</v>
      </c>
      <c r="G89" s="110" t="n">
        <v>0</v>
      </c>
      <c r="H89" s="110" t="n">
        <v>0</v>
      </c>
      <c r="I89" s="110" t="n">
        <v>0</v>
      </c>
      <c r="J89" s="110" t="n">
        <v>0</v>
      </c>
      <c r="K89" s="110" t="n">
        <v>0</v>
      </c>
      <c r="L89" s="110" t="n">
        <v>0</v>
      </c>
    </row>
    <row r="90" customFormat="false" ht="15" hidden="false" customHeight="false" outlineLevel="0" collapsed="false">
      <c r="A90" s="28" t="s">
        <v>1918</v>
      </c>
      <c r="B90" s="63" t="s">
        <v>1837</v>
      </c>
      <c r="C90" s="64" t="n">
        <f aca="false">P90</f>
        <v>0</v>
      </c>
      <c r="E90" s="110" t="n">
        <v>1000.42</v>
      </c>
      <c r="F90" s="110" t="n">
        <v>0</v>
      </c>
      <c r="G90" s="110" t="n">
        <v>0</v>
      </c>
      <c r="H90" s="110" t="n">
        <v>0</v>
      </c>
      <c r="I90" s="110" t="n">
        <v>0</v>
      </c>
      <c r="J90" s="110" t="n">
        <v>0</v>
      </c>
      <c r="K90" s="110" t="n">
        <v>0</v>
      </c>
      <c r="L90" s="110" t="n">
        <v>0</v>
      </c>
    </row>
    <row r="91" customFormat="false" ht="15" hidden="false" customHeight="false" outlineLevel="0" collapsed="false">
      <c r="A91" s="28" t="s">
        <v>1919</v>
      </c>
      <c r="B91" s="63" t="s">
        <v>1837</v>
      </c>
      <c r="C91" s="64" t="n">
        <f aca="false">P91</f>
        <v>0</v>
      </c>
      <c r="E91" s="110" t="n">
        <v>1012.07</v>
      </c>
      <c r="F91" s="110" t="n">
        <v>1018.34</v>
      </c>
      <c r="G91" s="110" t="n">
        <v>1100.58</v>
      </c>
      <c r="H91" s="110" t="n">
        <v>1105.58</v>
      </c>
      <c r="I91" s="110" t="n">
        <v>1106.39</v>
      </c>
      <c r="J91" s="110" t="n">
        <v>1110.18</v>
      </c>
      <c r="K91" s="110" t="n">
        <v>1115.3</v>
      </c>
      <c r="L91" s="110" t="n">
        <v>1124.37</v>
      </c>
    </row>
    <row r="92" customFormat="false" ht="15" hidden="false" customHeight="false" outlineLevel="0" collapsed="false">
      <c r="A92" s="28" t="s">
        <v>1920</v>
      </c>
      <c r="B92" s="63" t="s">
        <v>1837</v>
      </c>
      <c r="C92" s="64" t="n">
        <f aca="false">P92</f>
        <v>0</v>
      </c>
      <c r="E92" s="110" t="n">
        <v>4194.26</v>
      </c>
      <c r="F92" s="110" t="n">
        <v>4219.98</v>
      </c>
      <c r="G92" s="110" t="n">
        <v>4260.54</v>
      </c>
      <c r="H92" s="110" t="n">
        <v>4657.5</v>
      </c>
      <c r="I92" s="110" t="n">
        <v>4694.43</v>
      </c>
      <c r="J92" s="110" t="n">
        <v>4694.43</v>
      </c>
      <c r="K92" s="110" t="n">
        <v>4714.34</v>
      </c>
      <c r="L92" s="110" t="n">
        <v>4746.1</v>
      </c>
    </row>
    <row r="93" customFormat="false" ht="15" hidden="false" customHeight="false" outlineLevel="0" collapsed="false">
      <c r="A93" s="28" t="s">
        <v>1921</v>
      </c>
      <c r="B93" s="63" t="s">
        <v>1837</v>
      </c>
      <c r="C93" s="64" t="n">
        <f aca="false">P93</f>
        <v>0</v>
      </c>
      <c r="E93" s="110" t="n">
        <v>2646.84</v>
      </c>
      <c r="F93" s="110" t="n">
        <v>2665.22</v>
      </c>
      <c r="G93" s="110" t="n">
        <v>2689.01</v>
      </c>
      <c r="H93" s="110" t="n">
        <v>2707.91</v>
      </c>
      <c r="I93" s="110" t="n">
        <v>2080.45</v>
      </c>
      <c r="J93" s="110" t="n">
        <v>2094.03</v>
      </c>
      <c r="K93" s="110" t="n">
        <v>2107.13</v>
      </c>
      <c r="L93" s="110" t="n">
        <v>2122.86</v>
      </c>
    </row>
    <row r="94" customFormat="false" ht="15" hidden="false" customHeight="false" outlineLevel="0" collapsed="false">
      <c r="A94" s="28" t="s">
        <v>1922</v>
      </c>
      <c r="B94" s="63" t="s">
        <v>1837</v>
      </c>
      <c r="C94" s="64" t="n">
        <f aca="false">P94</f>
        <v>0</v>
      </c>
      <c r="E94" s="110" t="n">
        <v>3989.55</v>
      </c>
      <c r="F94" s="110" t="n">
        <v>4025.38</v>
      </c>
      <c r="G94" s="110" t="n">
        <v>4062.33</v>
      </c>
      <c r="H94" s="110" t="n">
        <v>4087.86</v>
      </c>
      <c r="I94" s="110" t="n">
        <v>4094.66</v>
      </c>
      <c r="J94" s="110" t="n">
        <v>3367.59</v>
      </c>
      <c r="K94" s="110" t="n">
        <v>3384.66</v>
      </c>
      <c r="L94" s="110" t="n">
        <v>3392.57</v>
      </c>
    </row>
    <row r="95" customFormat="false" ht="15" hidden="false" customHeight="false" outlineLevel="0" collapsed="false">
      <c r="A95" s="28" t="s">
        <v>1923</v>
      </c>
      <c r="B95" s="63" t="s">
        <v>1837</v>
      </c>
      <c r="C95" s="64" t="n">
        <f aca="false">P95</f>
        <v>0</v>
      </c>
      <c r="E95" s="110" t="n">
        <v>6019.7</v>
      </c>
      <c r="F95" s="110" t="n">
        <v>6057.92</v>
      </c>
      <c r="G95" s="110" t="n">
        <v>6100.04</v>
      </c>
      <c r="H95" s="110" t="n">
        <v>6128.2</v>
      </c>
      <c r="I95" s="110" t="n">
        <v>6150.98</v>
      </c>
      <c r="J95" s="110" t="n">
        <v>6191.92</v>
      </c>
      <c r="K95" s="110" t="n">
        <v>5502.65</v>
      </c>
      <c r="L95" s="110" t="n">
        <v>5529.92</v>
      </c>
    </row>
    <row r="96" customFormat="false" ht="15" hidden="false" customHeight="false" outlineLevel="0" collapsed="false">
      <c r="A96" s="28" t="s">
        <v>1924</v>
      </c>
      <c r="B96" s="63" t="s">
        <v>1837</v>
      </c>
      <c r="C96" s="64" t="n">
        <f aca="false">P96</f>
        <v>0</v>
      </c>
      <c r="E96" s="110" t="n">
        <v>1297</v>
      </c>
      <c r="F96" s="110" t="n">
        <v>1297</v>
      </c>
      <c r="G96" s="110" t="n">
        <v>1300.16</v>
      </c>
      <c r="H96" s="110" t="n">
        <v>1308.85</v>
      </c>
      <c r="I96" s="110" t="n">
        <v>1317.2</v>
      </c>
      <c r="J96" s="110" t="n">
        <v>1324.16</v>
      </c>
      <c r="K96" s="110" t="n">
        <v>1331.81</v>
      </c>
      <c r="L96" s="110" t="n">
        <v>1438.05</v>
      </c>
    </row>
    <row r="97" customFormat="false" ht="15" hidden="false" customHeight="false" outlineLevel="0" collapsed="false">
      <c r="A97" s="28" t="s">
        <v>1925</v>
      </c>
      <c r="B97" s="63" t="s">
        <v>1837</v>
      </c>
      <c r="C97" s="64" t="n">
        <f aca="false">P97</f>
        <v>0</v>
      </c>
      <c r="E97" s="110" t="n">
        <v>6177.17</v>
      </c>
      <c r="F97" s="110" t="n">
        <v>6207.17</v>
      </c>
      <c r="G97" s="110" t="n">
        <v>6225.51</v>
      </c>
      <c r="H97" s="110" t="n">
        <v>6253.05</v>
      </c>
      <c r="I97" s="110" t="n">
        <v>6253.05</v>
      </c>
      <c r="J97" s="110" t="n">
        <v>6284.96</v>
      </c>
      <c r="K97" s="110" t="n">
        <v>6284.96</v>
      </c>
      <c r="L97" s="110" t="n">
        <v>6304.91</v>
      </c>
    </row>
    <row r="98" customFormat="false" ht="15" hidden="false" customHeight="false" outlineLevel="0" collapsed="false">
      <c r="A98" s="28" t="s">
        <v>1926</v>
      </c>
      <c r="B98" s="63" t="s">
        <v>1837</v>
      </c>
      <c r="C98" s="64" t="n">
        <f aca="false">P98</f>
        <v>0</v>
      </c>
      <c r="E98" s="110" t="n">
        <v>3213.7</v>
      </c>
      <c r="F98" s="110" t="n">
        <v>3233.32</v>
      </c>
      <c r="G98" s="110" t="n">
        <v>3240.95</v>
      </c>
      <c r="H98" s="110" t="n">
        <v>3263.5</v>
      </c>
      <c r="I98" s="110" t="n">
        <v>3291.42</v>
      </c>
      <c r="J98" s="110" t="n">
        <v>3322.14</v>
      </c>
      <c r="K98" s="110" t="n">
        <v>3331.35</v>
      </c>
      <c r="L98" s="110" t="n">
        <v>3345.81</v>
      </c>
    </row>
    <row r="99" customFormat="false" ht="15" hidden="false" customHeight="false" outlineLevel="0" collapsed="false">
      <c r="A99" s="28" t="s">
        <v>1927</v>
      </c>
      <c r="B99" s="63" t="s">
        <v>1837</v>
      </c>
      <c r="C99" s="64" t="n">
        <f aca="false">P99</f>
        <v>0</v>
      </c>
      <c r="E99" s="110" t="n">
        <v>4108.98</v>
      </c>
      <c r="F99" s="110" t="n">
        <v>4140.12</v>
      </c>
      <c r="G99" s="110" t="n">
        <v>4140.12</v>
      </c>
      <c r="H99" s="110" t="n">
        <v>4147.77</v>
      </c>
      <c r="I99" s="110" t="n">
        <v>4178.37</v>
      </c>
      <c r="J99" s="110" t="n">
        <v>4189.31</v>
      </c>
      <c r="K99" s="110" t="n">
        <v>4205.52</v>
      </c>
      <c r="L99" s="110" t="n">
        <v>4224.63</v>
      </c>
    </row>
    <row r="100" customFormat="false" ht="15" hidden="false" customHeight="false" outlineLevel="0" collapsed="false">
      <c r="A100" s="28" t="s">
        <v>1928</v>
      </c>
      <c r="B100" s="63" t="s">
        <v>1837</v>
      </c>
      <c r="C100" s="64" t="n">
        <f aca="false">P100</f>
        <v>0</v>
      </c>
      <c r="E100" s="110" t="n">
        <v>1858.64</v>
      </c>
      <c r="F100" s="110" t="n">
        <v>1867.88</v>
      </c>
      <c r="G100" s="110" t="n">
        <v>1875.01</v>
      </c>
      <c r="H100" s="110" t="n">
        <v>1892.99</v>
      </c>
      <c r="I100" s="110" t="n">
        <v>1907.92</v>
      </c>
      <c r="J100" s="110" t="n">
        <v>1918.9</v>
      </c>
      <c r="K100" s="110" t="n">
        <v>1929.24</v>
      </c>
      <c r="L100" s="110" t="n">
        <v>1936.43</v>
      </c>
    </row>
    <row r="101" customFormat="false" ht="15" hidden="false" customHeight="false" outlineLevel="0" collapsed="false">
      <c r="A101" s="28" t="s">
        <v>1929</v>
      </c>
      <c r="B101" s="63" t="s">
        <v>1837</v>
      </c>
      <c r="C101" s="64" t="n">
        <f aca="false">P101</f>
        <v>0</v>
      </c>
      <c r="E101" s="110" t="n">
        <v>4886.36</v>
      </c>
      <c r="F101" s="110" t="n">
        <v>4932.29</v>
      </c>
      <c r="G101" s="110" t="n">
        <v>4973.32</v>
      </c>
      <c r="H101" s="110" t="n">
        <v>4998.08</v>
      </c>
      <c r="I101" s="110" t="n">
        <v>5045.71</v>
      </c>
      <c r="J101" s="110" t="n">
        <v>5056.09</v>
      </c>
      <c r="K101" s="110" t="n">
        <v>5092.82</v>
      </c>
      <c r="L101" s="110" t="n">
        <v>5108.27</v>
      </c>
    </row>
    <row r="102" customFormat="false" ht="15" hidden="false" customHeight="false" outlineLevel="0" collapsed="false">
      <c r="A102" s="28" t="s">
        <v>1930</v>
      </c>
      <c r="B102" s="63" t="s">
        <v>1837</v>
      </c>
      <c r="C102" s="64" t="n">
        <f aca="false">P102</f>
        <v>0</v>
      </c>
      <c r="E102" s="110" t="n">
        <v>992.9</v>
      </c>
      <c r="F102" s="110" t="n">
        <v>1068.71</v>
      </c>
      <c r="G102" s="110" t="n">
        <v>1076.41</v>
      </c>
      <c r="H102" s="110" t="n">
        <v>1076.98</v>
      </c>
      <c r="I102" s="110" t="n">
        <v>1081.03</v>
      </c>
      <c r="J102" s="110" t="n">
        <v>1092</v>
      </c>
      <c r="K102" s="110" t="n">
        <v>1101.91</v>
      </c>
      <c r="L102" s="110" t="n">
        <v>1111.02</v>
      </c>
    </row>
    <row r="103" customFormat="false" ht="15" hidden="false" customHeight="false" outlineLevel="0" collapsed="false">
      <c r="A103" s="28" t="s">
        <v>1931</v>
      </c>
      <c r="B103" s="63" t="s">
        <v>1837</v>
      </c>
      <c r="C103" s="64" t="n">
        <f aca="false">P103</f>
        <v>0</v>
      </c>
      <c r="E103" s="110" t="n">
        <v>5150.98</v>
      </c>
      <c r="F103" s="110" t="n">
        <v>5154.61</v>
      </c>
      <c r="G103" s="110" t="n">
        <v>3273.97</v>
      </c>
      <c r="H103" s="110" t="n">
        <v>3282.55</v>
      </c>
      <c r="I103" s="110" t="n">
        <v>3292.91</v>
      </c>
      <c r="J103" s="110" t="n">
        <v>3296.19</v>
      </c>
      <c r="K103" s="110" t="n">
        <v>3331.67</v>
      </c>
      <c r="L103" s="110" t="n">
        <v>3331.67</v>
      </c>
    </row>
    <row r="104" customFormat="false" ht="15" hidden="false" customHeight="false" outlineLevel="0" collapsed="false">
      <c r="A104" s="28" t="s">
        <v>1932</v>
      </c>
      <c r="B104" s="63" t="s">
        <v>1837</v>
      </c>
      <c r="C104" s="64" t="n">
        <f aca="false">P104</f>
        <v>0</v>
      </c>
      <c r="E104" s="110" t="n">
        <v>1889.64</v>
      </c>
      <c r="F104" s="110" t="n">
        <v>1897.88</v>
      </c>
      <c r="G104" s="110" t="n">
        <v>1908.35</v>
      </c>
      <c r="H104" s="110" t="n">
        <v>2055.7</v>
      </c>
      <c r="I104" s="110" t="n">
        <v>2073.67</v>
      </c>
      <c r="J104" s="110" t="n">
        <v>2082.52</v>
      </c>
      <c r="K104" s="110" t="n">
        <v>2087.85</v>
      </c>
      <c r="L104" s="110" t="n">
        <v>2105.51</v>
      </c>
    </row>
    <row r="105" customFormat="false" ht="15" hidden="false" customHeight="false" outlineLevel="0" collapsed="false">
      <c r="A105" s="28" t="s">
        <v>1933</v>
      </c>
      <c r="B105" s="63" t="s">
        <v>1837</v>
      </c>
      <c r="C105" s="64" t="n">
        <f aca="false">P105</f>
        <v>0</v>
      </c>
      <c r="E105" s="110" t="n">
        <v>5099.22</v>
      </c>
      <c r="F105" s="110" t="n">
        <v>5107.38</v>
      </c>
      <c r="G105" s="110" t="n">
        <v>5164.21</v>
      </c>
      <c r="H105" s="110" t="n">
        <v>5164.21</v>
      </c>
      <c r="I105" s="110" t="n">
        <v>3690.91</v>
      </c>
      <c r="J105" s="110" t="n">
        <v>3695.88</v>
      </c>
      <c r="K105" s="110" t="n">
        <v>3721.5</v>
      </c>
      <c r="L105" s="110" t="n">
        <v>3721.89</v>
      </c>
    </row>
    <row r="106" customFormat="false" ht="15" hidden="false" customHeight="false" outlineLevel="0" collapsed="false">
      <c r="A106" s="28" t="s">
        <v>1934</v>
      </c>
      <c r="B106" s="63" t="s">
        <v>1837</v>
      </c>
      <c r="C106" s="64" t="n">
        <f aca="false">P106</f>
        <v>0</v>
      </c>
      <c r="E106" s="110" t="n">
        <v>0</v>
      </c>
      <c r="F106" s="110" t="n">
        <v>0</v>
      </c>
      <c r="G106" s="110" t="n">
        <v>0</v>
      </c>
      <c r="H106" s="110" t="n">
        <v>0</v>
      </c>
      <c r="I106" s="110" t="n">
        <v>0</v>
      </c>
      <c r="J106" s="110" t="n">
        <v>0</v>
      </c>
      <c r="K106" s="110" t="n">
        <v>0</v>
      </c>
      <c r="L106" s="110" t="n">
        <v>0</v>
      </c>
    </row>
    <row r="107" customFormat="false" ht="15" hidden="false" customHeight="false" outlineLevel="0" collapsed="false">
      <c r="A107" s="28" t="s">
        <v>1935</v>
      </c>
      <c r="B107" s="63" t="s">
        <v>1837</v>
      </c>
      <c r="C107" s="64" t="n">
        <f aca="false">P107</f>
        <v>0</v>
      </c>
      <c r="E107" s="110" t="n">
        <v>4722.26</v>
      </c>
      <c r="F107" s="110" t="n">
        <v>4733.67</v>
      </c>
      <c r="G107" s="110" t="n">
        <v>4736.63</v>
      </c>
      <c r="H107" s="110" t="n">
        <v>4755.25</v>
      </c>
      <c r="I107" s="110" t="n">
        <v>4784.49</v>
      </c>
      <c r="J107" s="110" t="n">
        <v>4841.1</v>
      </c>
      <c r="K107" s="110" t="n">
        <v>4145.09</v>
      </c>
      <c r="L107" s="110" t="n">
        <v>4172.57</v>
      </c>
    </row>
    <row r="108" customFormat="false" ht="15" hidden="false" customHeight="false" outlineLevel="0" collapsed="false">
      <c r="A108" s="28" t="s">
        <v>1936</v>
      </c>
      <c r="B108" s="63" t="s">
        <v>1837</v>
      </c>
      <c r="C108" s="64" t="n">
        <f aca="false">P108</f>
        <v>0</v>
      </c>
      <c r="E108" s="110" t="n">
        <v>3981.85</v>
      </c>
      <c r="F108" s="110" t="n">
        <v>3989.88</v>
      </c>
      <c r="G108" s="110" t="n">
        <v>4008.14</v>
      </c>
      <c r="H108" s="110" t="n">
        <v>4031.18</v>
      </c>
      <c r="I108" s="110" t="n">
        <v>4038.7</v>
      </c>
      <c r="J108" s="110" t="n">
        <v>4070.68</v>
      </c>
      <c r="K108" s="110" t="n">
        <v>4092.66</v>
      </c>
      <c r="L108" s="110" t="n">
        <v>2614.32</v>
      </c>
    </row>
    <row r="109" customFormat="false" ht="15" hidden="false" customHeight="false" outlineLevel="0" collapsed="false">
      <c r="A109" s="28" t="s">
        <v>1937</v>
      </c>
      <c r="B109" s="63" t="s">
        <v>1837</v>
      </c>
      <c r="C109" s="64" t="n">
        <f aca="false">P109</f>
        <v>0</v>
      </c>
      <c r="E109" s="110" t="n">
        <v>0</v>
      </c>
      <c r="F109" s="110" t="n">
        <v>0</v>
      </c>
      <c r="G109" s="110" t="n">
        <v>0</v>
      </c>
      <c r="H109" s="110" t="n">
        <v>0</v>
      </c>
      <c r="I109" s="110" t="n">
        <v>0</v>
      </c>
      <c r="J109" s="110" t="n">
        <v>0</v>
      </c>
      <c r="K109" s="110" t="n">
        <v>0</v>
      </c>
      <c r="L109" s="110" t="n">
        <v>0</v>
      </c>
    </row>
    <row r="110" customFormat="false" ht="15" hidden="false" customHeight="false" outlineLevel="0" collapsed="false">
      <c r="A110" s="28" t="s">
        <v>1938</v>
      </c>
      <c r="B110" s="63" t="s">
        <v>1837</v>
      </c>
      <c r="C110" s="64" t="n">
        <f aca="false">P110</f>
        <v>0</v>
      </c>
      <c r="E110" s="110" t="n">
        <v>0</v>
      </c>
      <c r="F110" s="110" t="n">
        <v>0</v>
      </c>
      <c r="G110" s="110" t="n">
        <v>0</v>
      </c>
      <c r="H110" s="110" t="n">
        <v>0</v>
      </c>
      <c r="I110" s="110" t="n">
        <v>0</v>
      </c>
      <c r="J110" s="110" t="n">
        <v>0</v>
      </c>
      <c r="K110" s="110" t="n">
        <v>0</v>
      </c>
      <c r="L110" s="110" t="n">
        <v>0</v>
      </c>
    </row>
    <row r="111" customFormat="false" ht="15" hidden="false" customHeight="false" outlineLevel="0" collapsed="false">
      <c r="A111" s="28" t="s">
        <v>1939</v>
      </c>
      <c r="B111" s="63" t="s">
        <v>1837</v>
      </c>
      <c r="C111" s="64" t="n">
        <f aca="false">P111</f>
        <v>0</v>
      </c>
      <c r="E111" s="110" t="n">
        <v>4467.59</v>
      </c>
      <c r="F111" s="110" t="n">
        <v>4488.28</v>
      </c>
      <c r="G111" s="110" t="n">
        <v>4522.72</v>
      </c>
      <c r="H111" s="110" t="n">
        <v>4529.69</v>
      </c>
      <c r="I111" s="110" t="n">
        <v>4578.99</v>
      </c>
      <c r="J111" s="110" t="n">
        <v>4621.11</v>
      </c>
      <c r="K111" s="110" t="n">
        <v>4649.96</v>
      </c>
      <c r="L111" s="110" t="n">
        <v>4675.2</v>
      </c>
    </row>
    <row r="112" customFormat="false" ht="15" hidden="false" customHeight="false" outlineLevel="0" collapsed="false">
      <c r="A112" s="28" t="s">
        <v>1940</v>
      </c>
      <c r="B112" s="63" t="s">
        <v>1837</v>
      </c>
      <c r="C112" s="64" t="n">
        <f aca="false">P112</f>
        <v>0</v>
      </c>
      <c r="E112" s="110" t="n">
        <v>2965.99</v>
      </c>
      <c r="F112" s="110" t="n">
        <v>2983.98</v>
      </c>
      <c r="G112" s="110" t="n">
        <v>3014.76</v>
      </c>
      <c r="H112" s="110" t="n">
        <v>3026.12</v>
      </c>
      <c r="I112" s="110" t="n">
        <v>3035.37</v>
      </c>
      <c r="J112" s="110" t="n">
        <v>3050.96</v>
      </c>
      <c r="K112" s="110" t="n">
        <v>3065.03</v>
      </c>
      <c r="L112" s="110" t="n">
        <v>3072.41</v>
      </c>
    </row>
    <row r="113" customFormat="false" ht="15" hidden="false" customHeight="false" outlineLevel="0" collapsed="false">
      <c r="A113" s="28" t="s">
        <v>1941</v>
      </c>
      <c r="B113" s="63" t="s">
        <v>1837</v>
      </c>
      <c r="C113" s="64" t="n">
        <f aca="false">P113</f>
        <v>0</v>
      </c>
      <c r="E113" s="110" t="n">
        <v>8477.35</v>
      </c>
      <c r="F113" s="110" t="n">
        <v>8505.2</v>
      </c>
      <c r="G113" s="110" t="n">
        <v>8561.95</v>
      </c>
      <c r="H113" s="110" t="n">
        <v>8616.58</v>
      </c>
      <c r="I113" s="110" t="n">
        <v>8648.5</v>
      </c>
      <c r="J113" s="110" t="n">
        <v>8691.55</v>
      </c>
      <c r="K113" s="110" t="n">
        <v>8725.23</v>
      </c>
      <c r="L113" s="110" t="n">
        <v>8761.43</v>
      </c>
    </row>
    <row r="114" customFormat="false" ht="15" hidden="false" customHeight="false" outlineLevel="0" collapsed="false">
      <c r="A114" s="28" t="s">
        <v>1942</v>
      </c>
      <c r="B114" s="63" t="s">
        <v>1837</v>
      </c>
      <c r="C114" s="64" t="n">
        <f aca="false">P114</f>
        <v>0</v>
      </c>
      <c r="F114" s="110" t="n">
        <v>4061.87</v>
      </c>
      <c r="G114" s="110" t="n">
        <v>4076.56</v>
      </c>
      <c r="H114" s="110" t="n">
        <v>4100.06</v>
      </c>
      <c r="I114" s="110" t="n">
        <v>4155.41</v>
      </c>
      <c r="J114" s="110" t="n">
        <v>4199.73</v>
      </c>
      <c r="K114" s="110" t="n">
        <v>4228.95</v>
      </c>
      <c r="L114" s="110" t="n">
        <v>4264.88</v>
      </c>
    </row>
    <row r="115" customFormat="false" ht="15" hidden="false" customHeight="false" outlineLevel="0" collapsed="false">
      <c r="A115" s="28" t="s">
        <v>1943</v>
      </c>
      <c r="B115" s="63" t="s">
        <v>1837</v>
      </c>
      <c r="C115" s="64" t="n">
        <f aca="false">P115</f>
        <v>0</v>
      </c>
      <c r="G115" s="110" t="n">
        <v>7032.4</v>
      </c>
      <c r="H115" s="110" t="n">
        <v>7067.38</v>
      </c>
      <c r="I115" s="110" t="n">
        <v>7108.72</v>
      </c>
      <c r="J115" s="110" t="n">
        <v>7131.6</v>
      </c>
      <c r="K115" s="110" t="n">
        <v>7169.42</v>
      </c>
      <c r="L115" s="110" t="n">
        <v>7216.07</v>
      </c>
    </row>
    <row r="116" customFormat="false" ht="15" hidden="false" customHeight="false" outlineLevel="0" collapsed="false">
      <c r="A116" s="28" t="s">
        <v>1944</v>
      </c>
      <c r="B116" s="63" t="s">
        <v>1837</v>
      </c>
      <c r="C116" s="64" t="n">
        <f aca="false">P116</f>
        <v>0</v>
      </c>
      <c r="H116" s="110" t="n">
        <v>4612.09</v>
      </c>
      <c r="I116" s="110" t="n">
        <v>4619.11</v>
      </c>
      <c r="J116" s="110" t="n">
        <v>4660.28</v>
      </c>
      <c r="K116" s="110" t="n">
        <v>4675.29</v>
      </c>
      <c r="L116" s="110" t="n">
        <v>4706.2</v>
      </c>
    </row>
    <row r="117" customFormat="false" ht="15" hidden="false" customHeight="false" outlineLevel="0" collapsed="false">
      <c r="A117" s="28" t="s">
        <v>1945</v>
      </c>
      <c r="B117" s="63" t="s">
        <v>1837</v>
      </c>
      <c r="C117" s="64" t="n">
        <f aca="false">P117</f>
        <v>0</v>
      </c>
      <c r="I117" s="110" t="n">
        <v>2930.04</v>
      </c>
      <c r="J117" s="110" t="n">
        <v>2942.05</v>
      </c>
      <c r="K117" s="110" t="n">
        <v>2970.86</v>
      </c>
      <c r="L117" s="110" t="n">
        <v>2992.52</v>
      </c>
    </row>
    <row r="118" customFormat="false" ht="15" hidden="false" customHeight="false" outlineLevel="0" collapsed="false">
      <c r="A118" s="28" t="s">
        <v>1946</v>
      </c>
      <c r="B118" s="63" t="s">
        <v>1837</v>
      </c>
      <c r="C118" s="64" t="n">
        <f aca="false">P118</f>
        <v>0</v>
      </c>
      <c r="J118" s="110" t="n">
        <v>4143.41</v>
      </c>
      <c r="K118" s="110" t="n">
        <v>4190.01</v>
      </c>
      <c r="L118" s="110" t="n">
        <v>4211.74</v>
      </c>
    </row>
    <row r="119" customFormat="false" ht="15" hidden="false" customHeight="false" outlineLevel="0" collapsed="false">
      <c r="A119" s="28" t="s">
        <v>1947</v>
      </c>
      <c r="B119" s="63" t="s">
        <v>1837</v>
      </c>
      <c r="C119" s="64" t="n">
        <f aca="false">P119</f>
        <v>0</v>
      </c>
      <c r="K119" s="110" t="n">
        <v>4130.81</v>
      </c>
      <c r="L119" s="110" t="n">
        <v>4146.34</v>
      </c>
    </row>
    <row r="120" customFormat="false" ht="15" hidden="false" customHeight="false" outlineLevel="0" collapsed="false">
      <c r="A120" s="28" t="s">
        <v>1948</v>
      </c>
      <c r="B120" s="63" t="s">
        <v>1837</v>
      </c>
      <c r="C120" s="64" t="n">
        <f aca="false">P120</f>
        <v>0</v>
      </c>
      <c r="L120" s="110" t="n">
        <v>4741.43</v>
      </c>
    </row>
    <row r="121" customFormat="false" ht="15" hidden="false" customHeight="false" outlineLevel="0" collapsed="false">
      <c r="A121" s="22" t="s">
        <v>1949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row>
    <row r="122" customFormat="false" ht="15" hidden="false" customHeight="false" outlineLevel="0" collapsed="false">
      <c r="A122" s="28" t="s">
        <v>1950</v>
      </c>
      <c r="B122" s="63" t="s">
        <v>1837</v>
      </c>
      <c r="C122" s="143" t="n">
        <f aca="false">P122</f>
        <v>0</v>
      </c>
      <c r="E122" s="139" t="n">
        <v>12</v>
      </c>
      <c r="F122" s="139" t="n">
        <v>12</v>
      </c>
      <c r="G122" s="139" t="n">
        <v>12</v>
      </c>
      <c r="H122" s="139" t="n">
        <v>12</v>
      </c>
      <c r="I122" s="139" t="n">
        <v>12</v>
      </c>
      <c r="J122" s="139" t="n">
        <v>12</v>
      </c>
      <c r="K122" s="139" t="n">
        <v>12</v>
      </c>
      <c r="L122" s="139" t="n">
        <v>12</v>
      </c>
    </row>
    <row r="123" customFormat="false" ht="15" hidden="false" customHeight="false" outlineLevel="0" collapsed="false">
      <c r="A123" s="28" t="s">
        <v>1951</v>
      </c>
      <c r="B123" s="63" t="s">
        <v>1837</v>
      </c>
      <c r="C123" s="143" t="n">
        <f aca="false">P123</f>
        <v>0</v>
      </c>
      <c r="E123" s="139" t="n">
        <v>8</v>
      </c>
      <c r="F123" s="139" t="n">
        <v>6</v>
      </c>
      <c r="G123" s="139" t="n">
        <v>6</v>
      </c>
      <c r="H123" s="139" t="n">
        <v>6</v>
      </c>
      <c r="I123" s="139" t="n">
        <v>6</v>
      </c>
      <c r="J123" s="139" t="n">
        <v>6</v>
      </c>
      <c r="K123" s="139" t="n">
        <v>6</v>
      </c>
      <c r="L123" s="139" t="n">
        <v>6</v>
      </c>
    </row>
    <row r="124" customFormat="false" ht="15" hidden="false" customHeight="false" outlineLevel="0" collapsed="false">
      <c r="A124" s="28" t="s">
        <v>1952</v>
      </c>
      <c r="B124" s="63" t="s">
        <v>1837</v>
      </c>
      <c r="C124" s="143" t="n">
        <f aca="false">P124</f>
        <v>0</v>
      </c>
      <c r="E124" s="139" t="n">
        <v>7</v>
      </c>
      <c r="F124" s="139" t="n">
        <v>7</v>
      </c>
      <c r="G124" s="139" t="n">
        <v>5</v>
      </c>
      <c r="H124" s="139" t="n">
        <v>5</v>
      </c>
      <c r="I124" s="139" t="n">
        <v>5</v>
      </c>
      <c r="J124" s="139" t="n">
        <v>5</v>
      </c>
      <c r="K124" s="139" t="n">
        <v>5</v>
      </c>
      <c r="L124" s="139" t="n">
        <v>5</v>
      </c>
    </row>
    <row r="125" customFormat="false" ht="15" hidden="false" customHeight="false" outlineLevel="0" collapsed="false">
      <c r="A125" s="28" t="s">
        <v>1953</v>
      </c>
      <c r="B125" s="63" t="s">
        <v>1837</v>
      </c>
      <c r="C125" s="143" t="n">
        <f aca="false">P125</f>
        <v>0</v>
      </c>
      <c r="E125" s="139" t="n">
        <v>7</v>
      </c>
      <c r="F125" s="139" t="n">
        <v>7</v>
      </c>
      <c r="G125" s="139" t="n">
        <v>7</v>
      </c>
      <c r="H125" s="139" t="n">
        <v>6</v>
      </c>
      <c r="I125" s="139" t="n">
        <v>6</v>
      </c>
      <c r="J125" s="139" t="n">
        <v>6</v>
      </c>
      <c r="K125" s="139" t="n">
        <v>6</v>
      </c>
      <c r="L125" s="139" t="n">
        <v>6</v>
      </c>
    </row>
    <row r="126" customFormat="false" ht="15" hidden="false" customHeight="false" outlineLevel="0" collapsed="false">
      <c r="A126" s="28" t="s">
        <v>1954</v>
      </c>
      <c r="B126" s="63" t="s">
        <v>1837</v>
      </c>
      <c r="C126" s="143" t="n">
        <f aca="false">P126</f>
        <v>0</v>
      </c>
      <c r="E126" s="139" t="n">
        <v>7</v>
      </c>
      <c r="F126" s="139" t="n">
        <v>7</v>
      </c>
      <c r="G126" s="139" t="n">
        <v>7</v>
      </c>
      <c r="H126" s="139" t="n">
        <v>7</v>
      </c>
      <c r="I126" s="139" t="n">
        <v>6</v>
      </c>
      <c r="J126" s="139" t="n">
        <v>6</v>
      </c>
      <c r="K126" s="139" t="n">
        <v>6</v>
      </c>
      <c r="L126" s="139" t="n">
        <v>6</v>
      </c>
    </row>
    <row r="127" customFormat="false" ht="15" hidden="false" customHeight="false" outlineLevel="0" collapsed="false">
      <c r="A127" s="28" t="s">
        <v>1955</v>
      </c>
      <c r="B127" s="63" t="s">
        <v>1837</v>
      </c>
      <c r="C127" s="143" t="n">
        <f aca="false">P127</f>
        <v>0</v>
      </c>
      <c r="E127" s="139" t="n">
        <v>5</v>
      </c>
      <c r="F127" s="139" t="n">
        <v>5</v>
      </c>
      <c r="G127" s="139" t="n">
        <v>5</v>
      </c>
      <c r="H127" s="139" t="n">
        <v>5</v>
      </c>
      <c r="I127" s="139" t="n">
        <v>5</v>
      </c>
      <c r="J127" s="139" t="n">
        <v>5</v>
      </c>
      <c r="K127" s="139" t="n">
        <v>5</v>
      </c>
      <c r="L127" s="139" t="n">
        <v>5</v>
      </c>
    </row>
    <row r="128" customFormat="false" ht="15" hidden="false" customHeight="false" outlineLevel="0" collapsed="false">
      <c r="A128" s="28" t="s">
        <v>1956</v>
      </c>
      <c r="B128" s="63" t="s">
        <v>1837</v>
      </c>
      <c r="C128" s="143" t="n">
        <f aca="false">P128</f>
        <v>0</v>
      </c>
      <c r="E128" s="139" t="n">
        <v>4</v>
      </c>
      <c r="F128" s="139" t="n">
        <v>4</v>
      </c>
      <c r="G128" s="139" t="n">
        <v>4</v>
      </c>
      <c r="H128" s="139" t="n">
        <v>4</v>
      </c>
      <c r="I128" s="139" t="n">
        <v>4</v>
      </c>
      <c r="J128" s="139" t="n">
        <v>4</v>
      </c>
      <c r="K128" s="139" t="n">
        <v>4</v>
      </c>
      <c r="L128" s="139" t="n">
        <v>4</v>
      </c>
    </row>
    <row r="129" customFormat="false" ht="15" hidden="false" customHeight="false" outlineLevel="0" collapsed="false">
      <c r="A129" s="28" t="s">
        <v>1957</v>
      </c>
      <c r="B129" s="63" t="s">
        <v>1837</v>
      </c>
      <c r="C129" s="143" t="n">
        <f aca="false">P129</f>
        <v>0</v>
      </c>
      <c r="E129" s="139" t="n">
        <v>4</v>
      </c>
      <c r="F129" s="139" t="n">
        <v>4</v>
      </c>
      <c r="G129" s="139" t="n">
        <v>4</v>
      </c>
      <c r="H129" s="139" t="n">
        <v>4</v>
      </c>
      <c r="I129" s="139" t="n">
        <v>4</v>
      </c>
      <c r="J129" s="139" t="n">
        <v>4</v>
      </c>
      <c r="K129" s="139" t="n">
        <v>4</v>
      </c>
      <c r="L129" s="139" t="n">
        <v>3</v>
      </c>
    </row>
    <row r="130" customFormat="false" ht="15" hidden="false" customHeight="false" outlineLevel="0" collapsed="false">
      <c r="A130" s="28" t="s">
        <v>1958</v>
      </c>
      <c r="B130" s="63" t="s">
        <v>1837</v>
      </c>
      <c r="C130" s="143" t="n">
        <f aca="false">P130</f>
        <v>0</v>
      </c>
      <c r="E130" s="139" t="n">
        <v>5</v>
      </c>
      <c r="F130" s="139" t="n">
        <v>5</v>
      </c>
      <c r="G130" s="139" t="n">
        <v>5</v>
      </c>
      <c r="H130" s="139" t="n">
        <v>5</v>
      </c>
      <c r="I130" s="139" t="n">
        <v>5</v>
      </c>
      <c r="J130" s="139" t="n">
        <v>5</v>
      </c>
      <c r="K130" s="139" t="n">
        <v>5</v>
      </c>
      <c r="L130" s="139" t="n">
        <v>5</v>
      </c>
    </row>
    <row r="131" customFormat="false" ht="15" hidden="false" customHeight="false" outlineLevel="0" collapsed="false">
      <c r="A131" s="28" t="s">
        <v>1959</v>
      </c>
      <c r="B131" s="63" t="s">
        <v>1837</v>
      </c>
      <c r="C131" s="143" t="n">
        <f aca="false">P131</f>
        <v>0</v>
      </c>
      <c r="E131" s="139" t="n">
        <v>6</v>
      </c>
      <c r="F131" s="139" t="n">
        <v>6</v>
      </c>
      <c r="G131" s="139" t="n">
        <v>6</v>
      </c>
      <c r="H131" s="139" t="n">
        <v>6</v>
      </c>
      <c r="I131" s="139" t="n">
        <v>6</v>
      </c>
      <c r="J131" s="139" t="n">
        <v>6</v>
      </c>
      <c r="K131" s="139" t="n">
        <v>6</v>
      </c>
      <c r="L131" s="139" t="n">
        <v>6</v>
      </c>
    </row>
    <row r="132" customFormat="false" ht="15" hidden="false" customHeight="false" outlineLevel="0" collapsed="false">
      <c r="A132" s="28" t="s">
        <v>1960</v>
      </c>
      <c r="B132" s="63" t="s">
        <v>1837</v>
      </c>
      <c r="C132" s="143" t="n">
        <f aca="false">P132</f>
        <v>0</v>
      </c>
      <c r="E132" s="139" t="n">
        <v>3</v>
      </c>
      <c r="F132" s="139" t="n">
        <v>3</v>
      </c>
      <c r="G132" s="139" t="n">
        <v>3</v>
      </c>
      <c r="H132" s="139" t="n">
        <v>3</v>
      </c>
      <c r="I132" s="139" t="n">
        <v>3</v>
      </c>
      <c r="J132" s="139" t="n">
        <v>3</v>
      </c>
      <c r="K132" s="139" t="n">
        <v>3</v>
      </c>
      <c r="L132" s="139" t="n">
        <v>3</v>
      </c>
    </row>
    <row r="133" customFormat="false" ht="15" hidden="false" customHeight="false" outlineLevel="0" collapsed="false">
      <c r="A133" s="28" t="s">
        <v>1961</v>
      </c>
      <c r="B133" s="63" t="s">
        <v>1837</v>
      </c>
      <c r="C133" s="143" t="n">
        <f aca="false">P133</f>
        <v>0</v>
      </c>
      <c r="E133" s="139" t="n">
        <v>5</v>
      </c>
      <c r="F133" s="139" t="n">
        <v>5</v>
      </c>
      <c r="G133" s="139" t="n">
        <v>5</v>
      </c>
      <c r="H133" s="139" t="n">
        <v>5</v>
      </c>
      <c r="I133" s="139" t="n">
        <v>5</v>
      </c>
      <c r="J133" s="139" t="n">
        <v>5</v>
      </c>
      <c r="K133" s="139" t="n">
        <v>5</v>
      </c>
      <c r="L133" s="139" t="n">
        <v>5</v>
      </c>
    </row>
    <row r="134" customFormat="false" ht="15" hidden="false" customHeight="false" outlineLevel="0" collapsed="false">
      <c r="A134" s="28" t="s">
        <v>1962</v>
      </c>
      <c r="B134" s="63" t="s">
        <v>1837</v>
      </c>
      <c r="C134" s="143" t="n">
        <f aca="false">P134</f>
        <v>0</v>
      </c>
      <c r="E134" s="139" t="n">
        <v>0</v>
      </c>
      <c r="F134" s="139" t="n">
        <v>0</v>
      </c>
      <c r="G134" s="139" t="n">
        <v>0</v>
      </c>
      <c r="H134" s="139" t="n">
        <v>0</v>
      </c>
      <c r="I134" s="139" t="n">
        <v>0</v>
      </c>
      <c r="J134" s="139" t="n">
        <v>0</v>
      </c>
      <c r="K134" s="139" t="n">
        <v>0</v>
      </c>
      <c r="L134" s="139" t="n">
        <v>0</v>
      </c>
    </row>
    <row r="135" customFormat="false" ht="15" hidden="false" customHeight="false" outlineLevel="0" collapsed="false">
      <c r="A135" s="28" t="s">
        <v>1963</v>
      </c>
      <c r="B135" s="63" t="s">
        <v>1837</v>
      </c>
      <c r="C135" s="143" t="n">
        <f aca="false">P135</f>
        <v>0</v>
      </c>
      <c r="E135" s="139" t="n">
        <v>1</v>
      </c>
      <c r="F135" s="139" t="n">
        <v>0</v>
      </c>
      <c r="G135" s="139" t="n">
        <v>0</v>
      </c>
      <c r="H135" s="139" t="n">
        <v>0</v>
      </c>
      <c r="I135" s="139" t="n">
        <v>0</v>
      </c>
      <c r="J135" s="139" t="n">
        <v>0</v>
      </c>
      <c r="K135" s="139" t="n">
        <v>0</v>
      </c>
      <c r="L135" s="139" t="n">
        <v>0</v>
      </c>
    </row>
    <row r="136" customFormat="false" ht="15" hidden="false" customHeight="false" outlineLevel="0" collapsed="false">
      <c r="A136" s="28" t="s">
        <v>1964</v>
      </c>
      <c r="B136" s="63" t="s">
        <v>1837</v>
      </c>
      <c r="C136" s="143" t="n">
        <f aca="false">P136</f>
        <v>0</v>
      </c>
      <c r="E136" s="139" t="n">
        <v>1</v>
      </c>
      <c r="F136" s="139" t="n">
        <v>1</v>
      </c>
      <c r="G136" s="139" t="n">
        <v>1</v>
      </c>
      <c r="H136" s="139" t="n">
        <v>1</v>
      </c>
      <c r="I136" s="139" t="n">
        <v>1</v>
      </c>
      <c r="J136" s="139" t="n">
        <v>1</v>
      </c>
      <c r="K136" s="139" t="n">
        <v>1</v>
      </c>
      <c r="L136" s="139" t="n">
        <v>1</v>
      </c>
    </row>
    <row r="137" customFormat="false" ht="15" hidden="false" customHeight="false" outlineLevel="0" collapsed="false">
      <c r="A137" s="28" t="s">
        <v>1965</v>
      </c>
      <c r="B137" s="63" t="s">
        <v>1837</v>
      </c>
      <c r="C137" s="143" t="n">
        <f aca="false">P137</f>
        <v>0</v>
      </c>
      <c r="E137" s="139" t="n">
        <v>4</v>
      </c>
      <c r="F137" s="139" t="n">
        <v>4</v>
      </c>
      <c r="G137" s="139" t="n">
        <v>4</v>
      </c>
      <c r="H137" s="139" t="n">
        <v>4</v>
      </c>
      <c r="I137" s="139" t="n">
        <v>4</v>
      </c>
      <c r="J137" s="139" t="n">
        <v>4</v>
      </c>
      <c r="K137" s="139" t="n">
        <v>4</v>
      </c>
      <c r="L137" s="139" t="n">
        <v>4</v>
      </c>
    </row>
    <row r="138" customFormat="false" ht="15" hidden="false" customHeight="false" outlineLevel="0" collapsed="false">
      <c r="A138" s="28" t="s">
        <v>1966</v>
      </c>
      <c r="B138" s="63" t="s">
        <v>1837</v>
      </c>
      <c r="C138" s="143" t="n">
        <f aca="false">P138</f>
        <v>0</v>
      </c>
      <c r="E138" s="139" t="n">
        <v>3</v>
      </c>
      <c r="F138" s="139" t="n">
        <v>3</v>
      </c>
      <c r="G138" s="139" t="n">
        <v>3</v>
      </c>
      <c r="H138" s="139" t="n">
        <v>3</v>
      </c>
      <c r="I138" s="139" t="n">
        <v>2</v>
      </c>
      <c r="J138" s="139" t="n">
        <v>2</v>
      </c>
      <c r="K138" s="139" t="n">
        <v>2</v>
      </c>
      <c r="L138" s="139" t="n">
        <v>2</v>
      </c>
    </row>
    <row r="139" customFormat="false" ht="15" hidden="false" customHeight="false" outlineLevel="0" collapsed="false">
      <c r="A139" s="28" t="s">
        <v>1967</v>
      </c>
      <c r="B139" s="63" t="s">
        <v>1837</v>
      </c>
      <c r="C139" s="143" t="n">
        <f aca="false">P139</f>
        <v>0</v>
      </c>
      <c r="E139" s="139" t="n">
        <v>4</v>
      </c>
      <c r="F139" s="139" t="n">
        <v>4</v>
      </c>
      <c r="G139" s="139" t="n">
        <v>4</v>
      </c>
      <c r="H139" s="139" t="n">
        <v>4</v>
      </c>
      <c r="I139" s="139" t="n">
        <v>4</v>
      </c>
      <c r="J139" s="139" t="n">
        <v>3</v>
      </c>
      <c r="K139" s="139" t="n">
        <v>3</v>
      </c>
      <c r="L139" s="139" t="n">
        <v>3</v>
      </c>
    </row>
    <row r="140" customFormat="false" ht="15" hidden="false" customHeight="false" outlineLevel="0" collapsed="false">
      <c r="A140" s="28" t="s">
        <v>1968</v>
      </c>
      <c r="B140" s="63" t="s">
        <v>1837</v>
      </c>
      <c r="C140" s="143" t="n">
        <f aca="false">P140</f>
        <v>0</v>
      </c>
      <c r="E140" s="139" t="n">
        <v>6</v>
      </c>
      <c r="F140" s="139" t="n">
        <v>6</v>
      </c>
      <c r="G140" s="139" t="n">
        <v>6</v>
      </c>
      <c r="H140" s="139" t="n">
        <v>6</v>
      </c>
      <c r="I140" s="139" t="n">
        <v>6</v>
      </c>
      <c r="J140" s="139" t="n">
        <v>6</v>
      </c>
      <c r="K140" s="139" t="n">
        <v>5</v>
      </c>
      <c r="L140" s="139" t="n">
        <v>5</v>
      </c>
    </row>
    <row r="141" customFormat="false" ht="15" hidden="false" customHeight="false" outlineLevel="0" collapsed="false">
      <c r="A141" s="28" t="s">
        <v>1969</v>
      </c>
      <c r="B141" s="63" t="s">
        <v>1837</v>
      </c>
      <c r="C141" s="143" t="n">
        <f aca="false">P141</f>
        <v>0</v>
      </c>
      <c r="E141" s="139" t="n">
        <v>1</v>
      </c>
      <c r="F141" s="139" t="n">
        <v>1</v>
      </c>
      <c r="G141" s="139" t="n">
        <v>1</v>
      </c>
      <c r="H141" s="139" t="n">
        <v>1</v>
      </c>
      <c r="I141" s="139" t="n">
        <v>1</v>
      </c>
      <c r="J141" s="139" t="n">
        <v>1</v>
      </c>
      <c r="K141" s="139" t="n">
        <v>1</v>
      </c>
      <c r="L141" s="139" t="n">
        <v>1</v>
      </c>
    </row>
    <row r="142" customFormat="false" ht="15" hidden="false" customHeight="false" outlineLevel="0" collapsed="false">
      <c r="A142" s="28" t="s">
        <v>1970</v>
      </c>
      <c r="B142" s="63" t="s">
        <v>1837</v>
      </c>
      <c r="C142" s="143" t="n">
        <f aca="false">P142</f>
        <v>0</v>
      </c>
      <c r="E142" s="139" t="n">
        <v>6</v>
      </c>
      <c r="F142" s="139" t="n">
        <v>6</v>
      </c>
      <c r="G142" s="139" t="n">
        <v>6</v>
      </c>
      <c r="H142" s="139" t="n">
        <v>6</v>
      </c>
      <c r="I142" s="139" t="n">
        <v>6</v>
      </c>
      <c r="J142" s="139" t="n">
        <v>6</v>
      </c>
      <c r="K142" s="139" t="n">
        <v>6</v>
      </c>
      <c r="L142" s="139" t="n">
        <v>6</v>
      </c>
    </row>
    <row r="143" customFormat="false" ht="15" hidden="false" customHeight="false" outlineLevel="0" collapsed="false">
      <c r="A143" s="28" t="s">
        <v>1971</v>
      </c>
      <c r="B143" s="63" t="s">
        <v>1837</v>
      </c>
      <c r="C143" s="143" t="n">
        <f aca="false">P143</f>
        <v>0</v>
      </c>
      <c r="E143" s="139" t="n">
        <v>3</v>
      </c>
      <c r="F143" s="139" t="n">
        <v>3</v>
      </c>
      <c r="G143" s="139" t="n">
        <v>3</v>
      </c>
      <c r="H143" s="139" t="n">
        <v>3</v>
      </c>
      <c r="I143" s="139" t="n">
        <v>3</v>
      </c>
      <c r="J143" s="139" t="n">
        <v>3</v>
      </c>
      <c r="K143" s="139" t="n">
        <v>3</v>
      </c>
      <c r="L143" s="139" t="n">
        <v>3</v>
      </c>
    </row>
    <row r="144" customFormat="false" ht="15" hidden="false" customHeight="false" outlineLevel="0" collapsed="false">
      <c r="A144" s="28" t="s">
        <v>1972</v>
      </c>
      <c r="B144" s="63" t="s">
        <v>1837</v>
      </c>
      <c r="C144" s="143" t="n">
        <f aca="false">P144</f>
        <v>0</v>
      </c>
      <c r="E144" s="139" t="n">
        <v>4</v>
      </c>
      <c r="F144" s="139" t="n">
        <v>4</v>
      </c>
      <c r="G144" s="139" t="n">
        <v>4</v>
      </c>
      <c r="H144" s="139" t="n">
        <v>4</v>
      </c>
      <c r="I144" s="139" t="n">
        <v>4</v>
      </c>
      <c r="J144" s="139" t="n">
        <v>4</v>
      </c>
      <c r="K144" s="139" t="n">
        <v>4</v>
      </c>
      <c r="L144" s="139" t="n">
        <v>4</v>
      </c>
    </row>
    <row r="145" customFormat="false" ht="15" hidden="false" customHeight="false" outlineLevel="0" collapsed="false">
      <c r="A145" s="28" t="s">
        <v>1973</v>
      </c>
      <c r="B145" s="63" t="s">
        <v>1837</v>
      </c>
      <c r="C145" s="143" t="n">
        <f aca="false">P145</f>
        <v>0</v>
      </c>
      <c r="E145" s="139" t="n">
        <v>2</v>
      </c>
      <c r="F145" s="139" t="n">
        <v>2</v>
      </c>
      <c r="G145" s="139" t="n">
        <v>2</v>
      </c>
      <c r="H145" s="139" t="n">
        <v>2</v>
      </c>
      <c r="I145" s="139" t="n">
        <v>2</v>
      </c>
      <c r="J145" s="139" t="n">
        <v>2</v>
      </c>
      <c r="K145" s="139" t="n">
        <v>2</v>
      </c>
      <c r="L145" s="139" t="n">
        <v>2</v>
      </c>
    </row>
    <row r="146" customFormat="false" ht="15" hidden="false" customHeight="false" outlineLevel="0" collapsed="false">
      <c r="A146" s="28" t="s">
        <v>1974</v>
      </c>
      <c r="B146" s="63" t="s">
        <v>1837</v>
      </c>
      <c r="C146" s="143" t="n">
        <f aca="false">P146</f>
        <v>0</v>
      </c>
      <c r="E146" s="139" t="n">
        <v>4</v>
      </c>
      <c r="F146" s="139" t="n">
        <v>4</v>
      </c>
      <c r="G146" s="139" t="n">
        <v>4</v>
      </c>
      <c r="H146" s="139" t="n">
        <v>4</v>
      </c>
      <c r="I146" s="139" t="n">
        <v>4</v>
      </c>
      <c r="J146" s="139" t="n">
        <v>4</v>
      </c>
      <c r="K146" s="139" t="n">
        <v>4</v>
      </c>
      <c r="L146" s="139" t="n">
        <v>4</v>
      </c>
    </row>
    <row r="147" customFormat="false" ht="15" hidden="false" customHeight="false" outlineLevel="0" collapsed="false">
      <c r="A147" s="28" t="s">
        <v>1975</v>
      </c>
      <c r="B147" s="63" t="s">
        <v>1837</v>
      </c>
      <c r="C147" s="143" t="n">
        <f aca="false">P147</f>
        <v>0</v>
      </c>
      <c r="E147" s="139" t="n">
        <v>1</v>
      </c>
      <c r="F147" s="139" t="n">
        <v>1</v>
      </c>
      <c r="G147" s="139" t="n">
        <v>1</v>
      </c>
      <c r="H147" s="139" t="n">
        <v>1</v>
      </c>
      <c r="I147" s="139" t="n">
        <v>1</v>
      </c>
      <c r="J147" s="139" t="n">
        <v>1</v>
      </c>
      <c r="K147" s="139" t="n">
        <v>1</v>
      </c>
      <c r="L147" s="139" t="n">
        <v>1</v>
      </c>
    </row>
    <row r="148" customFormat="false" ht="15" hidden="false" customHeight="false" outlineLevel="0" collapsed="false">
      <c r="A148" s="28" t="s">
        <v>1976</v>
      </c>
      <c r="B148" s="63" t="s">
        <v>1837</v>
      </c>
      <c r="C148" s="143" t="n">
        <f aca="false">P148</f>
        <v>0</v>
      </c>
      <c r="E148" s="139" t="n">
        <v>5</v>
      </c>
      <c r="F148" s="139" t="n">
        <v>5</v>
      </c>
      <c r="G148" s="139" t="n">
        <v>3</v>
      </c>
      <c r="H148" s="139" t="n">
        <v>3</v>
      </c>
      <c r="I148" s="139" t="n">
        <v>3</v>
      </c>
      <c r="J148" s="139" t="n">
        <v>3</v>
      </c>
      <c r="K148" s="139" t="n">
        <v>3</v>
      </c>
      <c r="L148" s="139" t="n">
        <v>3</v>
      </c>
    </row>
    <row r="149" customFormat="false" ht="15" hidden="false" customHeight="false" outlineLevel="0" collapsed="false">
      <c r="A149" s="28" t="s">
        <v>1977</v>
      </c>
      <c r="B149" s="63" t="s">
        <v>1837</v>
      </c>
      <c r="C149" s="143" t="n">
        <f aca="false">P149</f>
        <v>0</v>
      </c>
      <c r="E149" s="139" t="n">
        <v>2</v>
      </c>
      <c r="F149" s="139" t="n">
        <v>2</v>
      </c>
      <c r="G149" s="139" t="n">
        <v>2</v>
      </c>
      <c r="H149" s="139" t="n">
        <v>2</v>
      </c>
      <c r="I149" s="139" t="n">
        <v>2</v>
      </c>
      <c r="J149" s="139" t="n">
        <v>2</v>
      </c>
      <c r="K149" s="139" t="n">
        <v>2</v>
      </c>
      <c r="L149" s="139" t="n">
        <v>2</v>
      </c>
    </row>
    <row r="150" customFormat="false" ht="15" hidden="false" customHeight="false" outlineLevel="0" collapsed="false">
      <c r="A150" s="28" t="s">
        <v>1978</v>
      </c>
      <c r="B150" s="63" t="s">
        <v>1837</v>
      </c>
      <c r="C150" s="143" t="n">
        <f aca="false">P150</f>
        <v>0</v>
      </c>
      <c r="E150" s="139" t="n">
        <v>5</v>
      </c>
      <c r="F150" s="139" t="n">
        <v>5</v>
      </c>
      <c r="G150" s="139" t="n">
        <v>5</v>
      </c>
      <c r="H150" s="139" t="n">
        <v>5</v>
      </c>
      <c r="I150" s="139" t="n">
        <v>3</v>
      </c>
      <c r="J150" s="139" t="n">
        <v>3</v>
      </c>
      <c r="K150" s="139" t="n">
        <v>3</v>
      </c>
      <c r="L150" s="139" t="n">
        <v>3</v>
      </c>
    </row>
    <row r="151" customFormat="false" ht="15" hidden="false" customHeight="false" outlineLevel="0" collapsed="false">
      <c r="A151" s="28" t="s">
        <v>1979</v>
      </c>
      <c r="B151" s="63" t="s">
        <v>1837</v>
      </c>
      <c r="C151" s="143" t="n">
        <f aca="false">P151</f>
        <v>0</v>
      </c>
      <c r="E151" s="139" t="n">
        <v>0</v>
      </c>
      <c r="F151" s="139" t="n">
        <v>0</v>
      </c>
      <c r="G151" s="139" t="n">
        <v>0</v>
      </c>
      <c r="H151" s="139" t="n">
        <v>0</v>
      </c>
      <c r="I151" s="139" t="n">
        <v>0</v>
      </c>
      <c r="J151" s="139" t="n">
        <v>0</v>
      </c>
      <c r="K151" s="139" t="n">
        <v>0</v>
      </c>
      <c r="L151" s="139" t="n">
        <v>0</v>
      </c>
    </row>
    <row r="152" customFormat="false" ht="15" hidden="false" customHeight="false" outlineLevel="0" collapsed="false">
      <c r="A152" s="28" t="s">
        <v>1980</v>
      </c>
      <c r="B152" s="63" t="s">
        <v>1837</v>
      </c>
      <c r="C152" s="143" t="n">
        <f aca="false">P152</f>
        <v>0</v>
      </c>
      <c r="E152" s="139" t="n">
        <v>5</v>
      </c>
      <c r="F152" s="139" t="n">
        <v>5</v>
      </c>
      <c r="G152" s="139" t="n">
        <v>5</v>
      </c>
      <c r="H152" s="139" t="n">
        <v>5</v>
      </c>
      <c r="I152" s="139" t="n">
        <v>5</v>
      </c>
      <c r="J152" s="139" t="n">
        <v>5</v>
      </c>
      <c r="K152" s="139" t="n">
        <v>4</v>
      </c>
      <c r="L152" s="139" t="n">
        <v>4</v>
      </c>
    </row>
    <row r="153" customFormat="false" ht="15" hidden="false" customHeight="false" outlineLevel="0" collapsed="false">
      <c r="A153" s="28" t="s">
        <v>1981</v>
      </c>
      <c r="B153" s="63" t="s">
        <v>1837</v>
      </c>
      <c r="C153" s="143" t="n">
        <f aca="false">P153</f>
        <v>0</v>
      </c>
      <c r="E153" s="139" t="n">
        <v>4</v>
      </c>
      <c r="F153" s="139" t="n">
        <v>4</v>
      </c>
      <c r="G153" s="139" t="n">
        <v>4</v>
      </c>
      <c r="H153" s="139" t="n">
        <v>4</v>
      </c>
      <c r="I153" s="139" t="n">
        <v>4</v>
      </c>
      <c r="J153" s="139" t="n">
        <v>4</v>
      </c>
      <c r="K153" s="139" t="n">
        <v>4</v>
      </c>
      <c r="L153" s="139" t="n">
        <v>2</v>
      </c>
    </row>
    <row r="154" customFormat="false" ht="15" hidden="false" customHeight="false" outlineLevel="0" collapsed="false">
      <c r="A154" s="28" t="s">
        <v>1982</v>
      </c>
      <c r="B154" s="63" t="s">
        <v>1837</v>
      </c>
      <c r="C154" s="143" t="n">
        <f aca="false">P154</f>
        <v>0</v>
      </c>
      <c r="E154" s="139" t="n">
        <v>0</v>
      </c>
      <c r="F154" s="139" t="n">
        <v>0</v>
      </c>
      <c r="G154" s="139" t="n">
        <v>0</v>
      </c>
      <c r="H154" s="139" t="n">
        <v>0</v>
      </c>
      <c r="I154" s="139" t="n">
        <v>0</v>
      </c>
      <c r="J154" s="139" t="n">
        <v>0</v>
      </c>
      <c r="K154" s="139" t="n">
        <v>0</v>
      </c>
      <c r="L154" s="139" t="n">
        <v>0</v>
      </c>
    </row>
    <row r="155" customFormat="false" ht="15" hidden="false" customHeight="false" outlineLevel="0" collapsed="false">
      <c r="A155" s="28" t="s">
        <v>1983</v>
      </c>
      <c r="B155" s="63" t="s">
        <v>1837</v>
      </c>
      <c r="C155" s="143" t="n">
        <f aca="false">P155</f>
        <v>0</v>
      </c>
      <c r="E155" s="139" t="n">
        <v>0</v>
      </c>
      <c r="F155" s="139" t="n">
        <v>0</v>
      </c>
      <c r="G155" s="139" t="n">
        <v>0</v>
      </c>
      <c r="H155" s="139" t="n">
        <v>0</v>
      </c>
      <c r="I155" s="139" t="n">
        <v>0</v>
      </c>
      <c r="J155" s="139" t="n">
        <v>0</v>
      </c>
      <c r="K155" s="139" t="n">
        <v>0</v>
      </c>
      <c r="L155" s="139" t="n">
        <v>0</v>
      </c>
    </row>
    <row r="156" customFormat="false" ht="15" hidden="false" customHeight="false" outlineLevel="0" collapsed="false">
      <c r="A156" s="28" t="s">
        <v>1984</v>
      </c>
      <c r="B156" s="63" t="s">
        <v>1837</v>
      </c>
      <c r="C156" s="143" t="n">
        <f aca="false">P156</f>
        <v>0</v>
      </c>
      <c r="E156" s="139" t="n">
        <v>5</v>
      </c>
      <c r="F156" s="139" t="n">
        <v>5</v>
      </c>
      <c r="G156" s="139" t="n">
        <v>5</v>
      </c>
      <c r="H156" s="139" t="n">
        <v>5</v>
      </c>
      <c r="I156" s="139" t="n">
        <v>5</v>
      </c>
      <c r="J156" s="139" t="n">
        <v>5</v>
      </c>
      <c r="K156" s="139" t="n">
        <v>5</v>
      </c>
      <c r="L156" s="139" t="n">
        <v>5</v>
      </c>
    </row>
    <row r="157" customFormat="false" ht="15" hidden="false" customHeight="false" outlineLevel="0" collapsed="false">
      <c r="A157" s="28" t="s">
        <v>1985</v>
      </c>
      <c r="B157" s="63" t="s">
        <v>1837</v>
      </c>
      <c r="C157" s="143" t="n">
        <f aca="false">P157</f>
        <v>0</v>
      </c>
      <c r="E157" s="139" t="n">
        <v>3</v>
      </c>
      <c r="F157" s="139" t="n">
        <v>3</v>
      </c>
      <c r="G157" s="139" t="n">
        <v>3</v>
      </c>
      <c r="H157" s="139" t="n">
        <v>3</v>
      </c>
      <c r="I157" s="139" t="n">
        <v>3</v>
      </c>
      <c r="J157" s="139" t="n">
        <v>3</v>
      </c>
      <c r="K157" s="139" t="n">
        <v>3</v>
      </c>
      <c r="L157" s="139" t="n">
        <v>3</v>
      </c>
    </row>
    <row r="158" customFormat="false" ht="15" hidden="false" customHeight="false" outlineLevel="0" collapsed="false">
      <c r="A158" s="28" t="s">
        <v>1986</v>
      </c>
      <c r="B158" s="63" t="s">
        <v>1837</v>
      </c>
      <c r="C158" s="143" t="n">
        <f aca="false">P158</f>
        <v>0</v>
      </c>
      <c r="E158" s="139" t="n">
        <v>9</v>
      </c>
      <c r="F158" s="139" t="n">
        <v>9</v>
      </c>
      <c r="G158" s="139" t="n">
        <v>9</v>
      </c>
      <c r="H158" s="139" t="n">
        <v>9</v>
      </c>
      <c r="I158" s="139" t="n">
        <v>9</v>
      </c>
      <c r="J158" s="139" t="n">
        <v>9</v>
      </c>
      <c r="K158" s="139" t="n">
        <v>9</v>
      </c>
      <c r="L158" s="139" t="n">
        <v>9</v>
      </c>
    </row>
    <row r="159" customFormat="false" ht="15" hidden="false" customHeight="false" outlineLevel="0" collapsed="false">
      <c r="A159" s="28" t="s">
        <v>1987</v>
      </c>
      <c r="B159" s="63" t="s">
        <v>1837</v>
      </c>
      <c r="C159" s="143" t="n">
        <f aca="false">P159</f>
        <v>0</v>
      </c>
      <c r="F159" s="139" t="n">
        <v>4</v>
      </c>
      <c r="G159" s="139" t="n">
        <v>4</v>
      </c>
      <c r="H159" s="139" t="n">
        <v>4</v>
      </c>
      <c r="I159" s="139" t="n">
        <v>4</v>
      </c>
      <c r="J159" s="139" t="n">
        <v>4</v>
      </c>
      <c r="K159" s="139" t="n">
        <v>4</v>
      </c>
      <c r="L159" s="139" t="n">
        <v>4</v>
      </c>
    </row>
    <row r="160" customFormat="false" ht="15" hidden="false" customHeight="false" outlineLevel="0" collapsed="false">
      <c r="A160" s="28" t="s">
        <v>1988</v>
      </c>
      <c r="B160" s="63" t="s">
        <v>1837</v>
      </c>
      <c r="C160" s="143" t="n">
        <f aca="false">P160</f>
        <v>0</v>
      </c>
      <c r="G160" s="139" t="n">
        <v>7</v>
      </c>
      <c r="H160" s="139" t="n">
        <v>7</v>
      </c>
      <c r="I160" s="139" t="n">
        <v>7</v>
      </c>
      <c r="J160" s="139" t="n">
        <v>7</v>
      </c>
      <c r="K160" s="139" t="n">
        <v>7</v>
      </c>
      <c r="L160" s="139" t="n">
        <v>7</v>
      </c>
    </row>
    <row r="161" customFormat="false" ht="15" hidden="false" customHeight="false" outlineLevel="0" collapsed="false">
      <c r="A161" s="28" t="s">
        <v>1989</v>
      </c>
      <c r="B161" s="63" t="s">
        <v>1837</v>
      </c>
      <c r="C161" s="143" t="n">
        <f aca="false">P161</f>
        <v>0</v>
      </c>
      <c r="H161" s="139" t="n">
        <v>5</v>
      </c>
      <c r="I161" s="139" t="n">
        <v>5</v>
      </c>
      <c r="J161" s="139" t="n">
        <v>5</v>
      </c>
      <c r="K161" s="139" t="n">
        <v>5</v>
      </c>
      <c r="L161" s="139" t="n">
        <v>5</v>
      </c>
    </row>
    <row r="162" customFormat="false" ht="15" hidden="false" customHeight="false" outlineLevel="0" collapsed="false">
      <c r="A162" s="28" t="s">
        <v>1990</v>
      </c>
      <c r="B162" s="63" t="s">
        <v>1837</v>
      </c>
      <c r="C162" s="143" t="n">
        <f aca="false">P162</f>
        <v>0</v>
      </c>
      <c r="I162" s="139" t="n">
        <v>3</v>
      </c>
      <c r="J162" s="139" t="n">
        <v>3</v>
      </c>
      <c r="K162" s="139" t="n">
        <v>3</v>
      </c>
      <c r="L162" s="139" t="n">
        <v>3</v>
      </c>
    </row>
    <row r="163" customFormat="false" ht="15" hidden="false" customHeight="false" outlineLevel="0" collapsed="false">
      <c r="A163" s="28" t="s">
        <v>1991</v>
      </c>
      <c r="B163" s="63" t="s">
        <v>1837</v>
      </c>
      <c r="C163" s="143" t="n">
        <f aca="false">P163</f>
        <v>0</v>
      </c>
      <c r="J163" s="139" t="n">
        <v>4</v>
      </c>
      <c r="K163" s="139" t="n">
        <v>4</v>
      </c>
      <c r="L163" s="139" t="n">
        <v>4</v>
      </c>
    </row>
    <row r="164" customFormat="false" ht="15" hidden="false" customHeight="false" outlineLevel="0" collapsed="false">
      <c r="A164" s="28" t="s">
        <v>1992</v>
      </c>
      <c r="B164" s="63" t="s">
        <v>1837</v>
      </c>
      <c r="C164" s="143" t="n">
        <f aca="false">P164</f>
        <v>0</v>
      </c>
      <c r="K164" s="139" t="n">
        <v>4</v>
      </c>
      <c r="L164" s="139" t="n">
        <v>4</v>
      </c>
    </row>
    <row r="165" customFormat="false" ht="15" hidden="false" customHeight="false" outlineLevel="0" collapsed="false">
      <c r="A165" s="28" t="s">
        <v>1993</v>
      </c>
      <c r="B165" s="63" t="s">
        <v>1837</v>
      </c>
      <c r="C165" s="143" t="n">
        <f aca="false">P165</f>
        <v>0</v>
      </c>
      <c r="L165" s="139" t="n">
        <v>5</v>
      </c>
    </row>
    <row r="166" customFormat="false" ht="15" hidden="false" customHeight="false" outlineLevel="0" collapsed="false">
      <c r="A166" s="22" t="s">
        <v>1994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row>
    <row r="167" customFormat="false" ht="15" hidden="false" customHeight="false" outlineLevel="0" collapsed="false">
      <c r="A167" s="28" t="s">
        <v>1995</v>
      </c>
      <c r="B167" s="63" t="s">
        <v>1837</v>
      </c>
      <c r="C167" s="64" t="n">
        <f aca="false">P167</f>
        <v>0</v>
      </c>
      <c r="E167" s="110" t="n">
        <v>14676.49</v>
      </c>
      <c r="F167" s="110" t="n">
        <v>14676.49</v>
      </c>
      <c r="G167" s="110" t="n">
        <v>14676.49</v>
      </c>
      <c r="H167" s="110" t="n">
        <v>14676.49</v>
      </c>
      <c r="I167" s="110" t="n">
        <v>14676.49</v>
      </c>
      <c r="J167" s="110" t="n">
        <v>14676.49</v>
      </c>
      <c r="K167" s="110" t="n">
        <v>14676.49</v>
      </c>
      <c r="L167" s="110" t="n">
        <v>14676.49</v>
      </c>
    </row>
    <row r="168" customFormat="false" ht="15" hidden="false" customHeight="false" outlineLevel="0" collapsed="false">
      <c r="A168" s="28" t="s">
        <v>1996</v>
      </c>
      <c r="B168" s="63" t="s">
        <v>1837</v>
      </c>
      <c r="C168" s="64" t="n">
        <f aca="false">P168</f>
        <v>0</v>
      </c>
      <c r="E168" s="110" t="n">
        <v>10942.22</v>
      </c>
      <c r="F168" s="110" t="n">
        <v>10942.22</v>
      </c>
      <c r="G168" s="110" t="n">
        <v>11998.67</v>
      </c>
      <c r="H168" s="110" t="n">
        <v>11998.67</v>
      </c>
      <c r="I168" s="110" t="n">
        <v>12598.67</v>
      </c>
      <c r="J168" s="110" t="n">
        <v>12598.67</v>
      </c>
      <c r="K168" s="110" t="n">
        <v>12598.67</v>
      </c>
      <c r="L168" s="110" t="n">
        <v>12598.67</v>
      </c>
    </row>
    <row r="169" customFormat="false" ht="15" hidden="false" customHeight="false" outlineLevel="0" collapsed="false">
      <c r="A169" s="28" t="s">
        <v>1997</v>
      </c>
      <c r="B169" s="63" t="s">
        <v>1837</v>
      </c>
      <c r="C169" s="64" t="n">
        <f aca="false">P169</f>
        <v>0</v>
      </c>
      <c r="E169" s="110" t="n">
        <v>9181.35</v>
      </c>
      <c r="F169" s="110" t="n">
        <v>9181.35</v>
      </c>
      <c r="G169" s="110" t="n">
        <v>9181.35</v>
      </c>
      <c r="H169" s="110" t="n">
        <v>9181.35</v>
      </c>
      <c r="I169" s="110" t="n">
        <v>9181.35</v>
      </c>
      <c r="J169" s="110" t="n">
        <v>9552.85</v>
      </c>
      <c r="K169" s="110" t="n">
        <v>9552.85</v>
      </c>
      <c r="L169" s="110" t="n">
        <v>9552.85</v>
      </c>
    </row>
    <row r="170" customFormat="false" ht="15" hidden="false" customHeight="false" outlineLevel="0" collapsed="false">
      <c r="A170" s="28" t="s">
        <v>1998</v>
      </c>
      <c r="B170" s="63" t="s">
        <v>1837</v>
      </c>
      <c r="C170" s="64" t="n">
        <f aca="false">P170</f>
        <v>0</v>
      </c>
      <c r="E170" s="110" t="n">
        <v>8232.55</v>
      </c>
      <c r="F170" s="110" t="n">
        <v>8232.55</v>
      </c>
      <c r="G170" s="110" t="n">
        <v>8232.55</v>
      </c>
      <c r="H170" s="110" t="n">
        <v>8232.55</v>
      </c>
      <c r="I170" s="110" t="n">
        <v>8232.55</v>
      </c>
      <c r="J170" s="110" t="n">
        <v>8232.55</v>
      </c>
      <c r="K170" s="110" t="n">
        <v>8232.55</v>
      </c>
      <c r="L170" s="110" t="n">
        <v>8232.55</v>
      </c>
    </row>
    <row r="171" customFormat="false" ht="15" hidden="false" customHeight="false" outlineLevel="0" collapsed="false">
      <c r="A171" s="28" t="s">
        <v>1999</v>
      </c>
      <c r="B171" s="63" t="s">
        <v>1837</v>
      </c>
      <c r="C171" s="64" t="n">
        <f aca="false">P171</f>
        <v>0</v>
      </c>
      <c r="E171" s="110" t="n">
        <v>6888.32</v>
      </c>
      <c r="F171" s="110" t="n">
        <v>0</v>
      </c>
      <c r="G171" s="110" t="n">
        <v>0</v>
      </c>
      <c r="H171" s="110" t="n">
        <v>0</v>
      </c>
      <c r="I171" s="110" t="n">
        <v>0</v>
      </c>
      <c r="J171" s="110" t="n">
        <v>0</v>
      </c>
      <c r="K171" s="110" t="n">
        <v>0</v>
      </c>
      <c r="L171" s="110" t="n">
        <v>0</v>
      </c>
    </row>
    <row r="172" customFormat="false" ht="15" hidden="false" customHeight="false" outlineLevel="0" collapsed="false">
      <c r="A172" s="28" t="s">
        <v>2000</v>
      </c>
      <c r="B172" s="63" t="s">
        <v>1837</v>
      </c>
      <c r="C172" s="64" t="n">
        <f aca="false">P172</f>
        <v>0</v>
      </c>
      <c r="E172" s="110" t="n">
        <v>6321.51</v>
      </c>
      <c r="F172" s="110" t="n">
        <v>6321.51</v>
      </c>
      <c r="G172" s="110" t="n">
        <v>6321.51</v>
      </c>
      <c r="H172" s="110" t="n">
        <v>6321.51</v>
      </c>
      <c r="I172" s="110" t="n">
        <v>7130.04</v>
      </c>
      <c r="J172" s="110" t="n">
        <v>7130.04</v>
      </c>
      <c r="K172" s="110" t="n">
        <v>7130.04</v>
      </c>
      <c r="L172" s="110" t="n">
        <v>7130.04</v>
      </c>
    </row>
    <row r="173" customFormat="false" ht="15" hidden="false" customHeight="false" outlineLevel="0" collapsed="false">
      <c r="A173" s="28" t="s">
        <v>2001</v>
      </c>
      <c r="B173" s="63" t="s">
        <v>1837</v>
      </c>
      <c r="C173" s="64" t="n">
        <f aca="false">P173</f>
        <v>0</v>
      </c>
      <c r="E173" s="110" t="n">
        <v>7969.91</v>
      </c>
      <c r="F173" s="110" t="n">
        <v>7969.91</v>
      </c>
      <c r="G173" s="110" t="n">
        <v>7969.91</v>
      </c>
      <c r="H173" s="110" t="n">
        <v>7969.91</v>
      </c>
      <c r="I173" s="110" t="n">
        <v>7969.91</v>
      </c>
      <c r="J173" s="110" t="n">
        <v>7969.91</v>
      </c>
      <c r="K173" s="110" t="n">
        <v>7969.91</v>
      </c>
      <c r="L173" s="110" t="n">
        <v>7969.91</v>
      </c>
    </row>
    <row r="174" customFormat="false" ht="15" hidden="false" customHeight="false" outlineLevel="0" collapsed="false">
      <c r="A174" s="28" t="s">
        <v>2002</v>
      </c>
      <c r="B174" s="63" t="s">
        <v>1837</v>
      </c>
      <c r="C174" s="64" t="n">
        <f aca="false">P174</f>
        <v>0</v>
      </c>
      <c r="E174" s="110" t="n">
        <v>6306.24</v>
      </c>
      <c r="F174" s="110" t="n">
        <v>6306.24</v>
      </c>
      <c r="G174" s="110" t="n">
        <v>6306.24</v>
      </c>
      <c r="H174" s="110" t="n">
        <v>6306.24</v>
      </c>
      <c r="I174" s="110" t="n">
        <v>6306.24</v>
      </c>
      <c r="J174" s="110" t="n">
        <v>6306.24</v>
      </c>
      <c r="K174" s="110" t="n">
        <v>6306.24</v>
      </c>
      <c r="L174" s="110" t="n">
        <v>6306.24</v>
      </c>
    </row>
    <row r="175" customFormat="false" ht="15" hidden="false" customHeight="false" outlineLevel="0" collapsed="false">
      <c r="A175" s="28" t="s">
        <v>2003</v>
      </c>
      <c r="B175" s="63" t="s">
        <v>1837</v>
      </c>
      <c r="C175" s="64" t="n">
        <f aca="false">P175</f>
        <v>0</v>
      </c>
      <c r="E175" s="110" t="n">
        <v>6950.78</v>
      </c>
      <c r="F175" s="110" t="n">
        <v>6950.78</v>
      </c>
      <c r="G175" s="110" t="n">
        <v>6950.78</v>
      </c>
      <c r="H175" s="110" t="n">
        <v>6950.78</v>
      </c>
      <c r="I175" s="110" t="n">
        <v>6950.78</v>
      </c>
      <c r="J175" s="110" t="n">
        <v>7400.78</v>
      </c>
      <c r="K175" s="110" t="n">
        <v>7400.78</v>
      </c>
      <c r="L175" s="110" t="n">
        <v>7400.78</v>
      </c>
    </row>
    <row r="176" customFormat="false" ht="15" hidden="false" customHeight="false" outlineLevel="0" collapsed="false">
      <c r="A176" s="28" t="s">
        <v>2004</v>
      </c>
      <c r="B176" s="63" t="s">
        <v>1837</v>
      </c>
      <c r="C176" s="64" t="n">
        <f aca="false">P176</f>
        <v>0</v>
      </c>
      <c r="E176" s="110" t="n">
        <v>4703.54</v>
      </c>
      <c r="F176" s="110" t="n">
        <v>4703.54</v>
      </c>
      <c r="G176" s="110" t="n">
        <v>4855.78</v>
      </c>
      <c r="H176" s="110" t="n">
        <v>4855.78</v>
      </c>
      <c r="I176" s="110" t="n">
        <v>4855.78</v>
      </c>
      <c r="J176" s="110" t="n">
        <v>4855.78</v>
      </c>
      <c r="K176" s="110" t="n">
        <v>4855.78</v>
      </c>
      <c r="L176" s="110" t="n">
        <v>4855.78</v>
      </c>
    </row>
    <row r="177" customFormat="false" ht="15" hidden="false" customHeight="false" outlineLevel="0" collapsed="false">
      <c r="A177" s="28" t="s">
        <v>2005</v>
      </c>
      <c r="B177" s="63" t="s">
        <v>1837</v>
      </c>
      <c r="C177" s="64" t="n">
        <f aca="false">P177</f>
        <v>0</v>
      </c>
      <c r="E177" s="110" t="n">
        <v>5097.3</v>
      </c>
      <c r="F177" s="110" t="n">
        <v>5097.3</v>
      </c>
      <c r="G177" s="110" t="n">
        <v>5097.3</v>
      </c>
      <c r="H177" s="110" t="n">
        <v>5362.35</v>
      </c>
      <c r="I177" s="110" t="n">
        <v>5362.35</v>
      </c>
      <c r="J177" s="110" t="n">
        <v>5362.35</v>
      </c>
      <c r="K177" s="110" t="n">
        <v>5362.35</v>
      </c>
      <c r="L177" s="110" t="n">
        <v>5362.35</v>
      </c>
    </row>
    <row r="178" customFormat="false" ht="15" hidden="false" customHeight="false" outlineLevel="0" collapsed="false">
      <c r="A178" s="28" t="s">
        <v>2006</v>
      </c>
      <c r="B178" s="63" t="s">
        <v>1837</v>
      </c>
      <c r="C178" s="64" t="n">
        <f aca="false">P178</f>
        <v>0</v>
      </c>
      <c r="E178" s="110" t="n">
        <v>3940.94</v>
      </c>
      <c r="F178" s="110" t="n">
        <v>3940.94</v>
      </c>
      <c r="G178" s="110" t="n">
        <v>3940.94</v>
      </c>
      <c r="H178" s="110" t="n">
        <v>3940.94</v>
      </c>
      <c r="I178" s="110" t="n">
        <v>3940.94</v>
      </c>
      <c r="J178" s="110" t="n">
        <v>4177.93</v>
      </c>
      <c r="K178" s="110" t="n">
        <v>4177.93</v>
      </c>
      <c r="L178" s="110" t="n">
        <v>4177.93</v>
      </c>
    </row>
    <row r="179" customFormat="false" ht="15" hidden="false" customHeight="false" outlineLevel="0" collapsed="false">
      <c r="A179" s="28" t="s">
        <v>2007</v>
      </c>
      <c r="B179" s="63" t="s">
        <v>1837</v>
      </c>
      <c r="C179" s="64" t="n">
        <f aca="false">P179</f>
        <v>0</v>
      </c>
      <c r="E179" s="110" t="n">
        <v>5847.28</v>
      </c>
      <c r="F179" s="110" t="n">
        <v>5847.28</v>
      </c>
      <c r="G179" s="110" t="n">
        <v>5847.28</v>
      </c>
      <c r="H179" s="110" t="n">
        <v>5847.28</v>
      </c>
      <c r="I179" s="110" t="n">
        <v>5847.28</v>
      </c>
      <c r="J179" s="110" t="n">
        <v>5847.28</v>
      </c>
      <c r="K179" s="110" t="n">
        <v>5847.28</v>
      </c>
      <c r="L179" s="110" t="n">
        <v>5847.28</v>
      </c>
    </row>
    <row r="180" customFormat="false" ht="15" hidden="false" customHeight="false" outlineLevel="0" collapsed="false">
      <c r="A180" s="28" t="s">
        <v>2008</v>
      </c>
      <c r="B180" s="63" t="s">
        <v>1837</v>
      </c>
      <c r="C180" s="64" t="n">
        <f aca="false">P180</f>
        <v>0</v>
      </c>
      <c r="E180" s="110" t="n">
        <v>6731.5</v>
      </c>
      <c r="F180" s="110" t="n">
        <v>6731.5</v>
      </c>
      <c r="G180" s="110" t="n">
        <v>6731.5</v>
      </c>
      <c r="H180" s="110" t="n">
        <v>6731.5</v>
      </c>
      <c r="I180" s="110" t="n">
        <v>6731.5</v>
      </c>
      <c r="J180" s="110" t="n">
        <v>6731.5</v>
      </c>
      <c r="K180" s="110" t="n">
        <v>6731.5</v>
      </c>
      <c r="L180" s="110" t="n">
        <v>6731.5</v>
      </c>
    </row>
    <row r="181" customFormat="false" ht="15" hidden="false" customHeight="false" outlineLevel="0" collapsed="false">
      <c r="A181" s="28" t="s">
        <v>2009</v>
      </c>
      <c r="B181" s="63" t="s">
        <v>1837</v>
      </c>
      <c r="C181" s="64" t="n">
        <f aca="false">P181</f>
        <v>0</v>
      </c>
      <c r="E181" s="110" t="n">
        <v>7876.83</v>
      </c>
      <c r="F181" s="110" t="n">
        <v>7876.83</v>
      </c>
      <c r="G181" s="110" t="n">
        <v>8576.83</v>
      </c>
      <c r="H181" s="110" t="n">
        <v>8576.83</v>
      </c>
      <c r="I181" s="110" t="n">
        <v>8576.83</v>
      </c>
      <c r="J181" s="110" t="n">
        <v>8576.83</v>
      </c>
      <c r="K181" s="110" t="n">
        <v>8576.83</v>
      </c>
      <c r="L181" s="110" t="n">
        <v>8576.83</v>
      </c>
    </row>
    <row r="182" customFormat="false" ht="15" hidden="false" customHeight="false" outlineLevel="0" collapsed="false">
      <c r="A182" s="28" t="s">
        <v>2010</v>
      </c>
      <c r="B182" s="63" t="s">
        <v>1837</v>
      </c>
      <c r="C182" s="64" t="n">
        <f aca="false">P182</f>
        <v>0</v>
      </c>
      <c r="E182" s="110" t="n">
        <v>5000</v>
      </c>
      <c r="F182" s="110" t="n">
        <v>5000</v>
      </c>
      <c r="G182" s="110" t="n">
        <v>5396.12</v>
      </c>
      <c r="H182" s="110" t="n">
        <v>5396.12</v>
      </c>
      <c r="I182" s="110" t="n">
        <v>5396.12</v>
      </c>
      <c r="J182" s="110" t="n">
        <v>5396.12</v>
      </c>
      <c r="K182" s="110" t="n">
        <v>5396.12</v>
      </c>
      <c r="L182" s="110" t="n">
        <v>5396.12</v>
      </c>
    </row>
    <row r="183" customFormat="false" ht="15" hidden="false" customHeight="false" outlineLevel="0" collapsed="false">
      <c r="A183" s="28" t="s">
        <v>2011</v>
      </c>
      <c r="B183" s="63" t="s">
        <v>1837</v>
      </c>
      <c r="C183" s="64" t="n">
        <f aca="false">P183</f>
        <v>0</v>
      </c>
      <c r="E183" s="110" t="n">
        <v>4400</v>
      </c>
      <c r="F183" s="110" t="n">
        <v>4400</v>
      </c>
      <c r="G183" s="110" t="n">
        <v>4400</v>
      </c>
      <c r="H183" s="110" t="n">
        <v>4400</v>
      </c>
      <c r="I183" s="110" t="n">
        <v>4671.87</v>
      </c>
      <c r="J183" s="110" t="n">
        <v>4671.87</v>
      </c>
      <c r="K183" s="110" t="n">
        <v>4671.87</v>
      </c>
      <c r="L183" s="110" t="n">
        <v>4671.87</v>
      </c>
    </row>
    <row r="184" customFormat="false" ht="15" hidden="false" customHeight="false" outlineLevel="0" collapsed="false">
      <c r="A184" s="28" t="s">
        <v>2012</v>
      </c>
      <c r="B184" s="63" t="s">
        <v>1837</v>
      </c>
      <c r="C184" s="64" t="n">
        <f aca="false">P184</f>
        <v>0</v>
      </c>
      <c r="E184" s="110" t="n">
        <v>4800</v>
      </c>
      <c r="F184" s="110" t="n">
        <v>4800</v>
      </c>
      <c r="G184" s="110" t="n">
        <v>4800</v>
      </c>
      <c r="H184" s="110" t="n">
        <v>4800</v>
      </c>
      <c r="I184" s="110" t="n">
        <v>4800</v>
      </c>
      <c r="J184" s="110" t="n">
        <v>4800</v>
      </c>
      <c r="K184" s="110" t="n">
        <v>5224.06</v>
      </c>
      <c r="L184" s="110" t="n">
        <v>5224.06</v>
      </c>
    </row>
    <row r="185" customFormat="false" ht="15" hidden="false" customHeight="false" outlineLevel="0" collapsed="false">
      <c r="A185" s="28" t="s">
        <v>2013</v>
      </c>
      <c r="B185" s="63" t="s">
        <v>1837</v>
      </c>
      <c r="C185" s="64" t="n">
        <f aca="false">P185</f>
        <v>0</v>
      </c>
      <c r="E185" s="110" t="n">
        <v>6000</v>
      </c>
      <c r="F185" s="110" t="n">
        <v>6000</v>
      </c>
      <c r="G185" s="110" t="n">
        <v>6000</v>
      </c>
      <c r="H185" s="110" t="n">
        <v>6000</v>
      </c>
      <c r="I185" s="110" t="n">
        <v>6000</v>
      </c>
      <c r="J185" s="110" t="n">
        <v>6000</v>
      </c>
      <c r="K185" s="110" t="n">
        <v>6000</v>
      </c>
      <c r="L185" s="110" t="n">
        <v>6000</v>
      </c>
    </row>
    <row r="186" customFormat="false" ht="15" hidden="false" customHeight="false" outlineLevel="0" collapsed="false">
      <c r="A186" s="28" t="s">
        <v>2014</v>
      </c>
      <c r="B186" s="63" t="s">
        <v>1837</v>
      </c>
      <c r="C186" s="64" t="n">
        <f aca="false">P186</f>
        <v>0</v>
      </c>
      <c r="E186" s="110" t="n">
        <v>4300</v>
      </c>
      <c r="F186" s="110" t="n">
        <v>4300</v>
      </c>
      <c r="G186" s="110" t="n">
        <v>4300</v>
      </c>
      <c r="H186" s="110" t="n">
        <v>4300</v>
      </c>
      <c r="I186" s="110" t="n">
        <v>4300</v>
      </c>
      <c r="J186" s="110" t="n">
        <v>4300</v>
      </c>
      <c r="K186" s="110" t="n">
        <v>4300</v>
      </c>
      <c r="L186" s="110" t="n">
        <v>4300</v>
      </c>
    </row>
    <row r="187" customFormat="false" ht="15" hidden="false" customHeight="false" outlineLevel="0" collapsed="false">
      <c r="A187" s="28" t="s">
        <v>2015</v>
      </c>
      <c r="B187" s="63" t="s">
        <v>1837</v>
      </c>
      <c r="C187" s="64" t="n">
        <f aca="false">P187</f>
        <v>0</v>
      </c>
      <c r="E187" s="110" t="n">
        <v>0</v>
      </c>
      <c r="F187" s="110" t="n">
        <v>0</v>
      </c>
      <c r="G187" s="110" t="n">
        <v>0</v>
      </c>
      <c r="H187" s="110" t="n">
        <v>11500</v>
      </c>
      <c r="I187" s="110" t="n">
        <v>11500</v>
      </c>
      <c r="J187" s="110" t="n">
        <v>11500</v>
      </c>
      <c r="K187" s="110" t="n">
        <v>11500</v>
      </c>
      <c r="L187" s="110" t="n">
        <v>11500</v>
      </c>
    </row>
    <row r="188" customFormat="false" ht="15" hidden="false" customHeight="false" outlineLevel="0" collapsed="false">
      <c r="A188" s="28" t="s">
        <v>2016</v>
      </c>
      <c r="B188" s="63" t="s">
        <v>1837</v>
      </c>
      <c r="C188" s="64" t="n">
        <f aca="false">P188</f>
        <v>0</v>
      </c>
      <c r="E188" s="110" t="n">
        <v>0</v>
      </c>
      <c r="F188" s="110" t="n">
        <v>0</v>
      </c>
      <c r="G188" s="110" t="n">
        <v>0</v>
      </c>
      <c r="H188" s="110" t="n">
        <v>0</v>
      </c>
      <c r="I188" s="110" t="n">
        <v>0</v>
      </c>
      <c r="J188" s="110" t="n">
        <v>0</v>
      </c>
      <c r="K188" s="110" t="n">
        <v>5800</v>
      </c>
      <c r="L188" s="110" t="n">
        <v>5800</v>
      </c>
    </row>
    <row r="189" customFormat="false" ht="15" hidden="false" customHeight="false" outlineLevel="0" collapsed="false">
      <c r="A189" s="22" t="s">
        <v>2017</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customFormat="false" ht="15" hidden="false" customHeight="false" outlineLevel="0" collapsed="false">
      <c r="A190" s="28" t="s">
        <v>2018</v>
      </c>
      <c r="B190" s="63" t="s">
        <v>1837</v>
      </c>
      <c r="C190" s="64" t="n">
        <f aca="false">SUM(E190:P190)</f>
        <v>48184.65</v>
      </c>
      <c r="E190" s="110" t="n">
        <v>6167.42</v>
      </c>
      <c r="F190" s="110" t="n">
        <v>7044.4</v>
      </c>
      <c r="G190" s="110" t="n">
        <v>6938.22</v>
      </c>
      <c r="H190" s="110" t="n">
        <v>5811.95</v>
      </c>
      <c r="I190" s="110" t="n">
        <v>4499.94</v>
      </c>
      <c r="J190" s="110" t="n">
        <v>6642.93</v>
      </c>
      <c r="K190" s="110" t="n">
        <v>6680.55</v>
      </c>
      <c r="L190" s="110" t="n">
        <v>4399.24</v>
      </c>
    </row>
    <row r="191" customFormat="false" ht="15" hidden="false" customHeight="false" outlineLevel="0" collapsed="false">
      <c r="A191" s="28" t="s">
        <v>2019</v>
      </c>
      <c r="B191" s="63" t="s">
        <v>1837</v>
      </c>
      <c r="C191" s="64" t="n">
        <f aca="false">SUM(E191:P191)</f>
        <v>14907.09</v>
      </c>
      <c r="E191" s="110" t="n">
        <v>1668.66</v>
      </c>
      <c r="F191" s="110" t="n">
        <v>1737.76</v>
      </c>
      <c r="G191" s="110" t="n">
        <v>1798.7</v>
      </c>
      <c r="H191" s="110" t="n">
        <v>1964.42</v>
      </c>
      <c r="I191" s="110" t="n">
        <v>2026.24</v>
      </c>
      <c r="J191" s="110" t="n">
        <v>1931.02</v>
      </c>
      <c r="K191" s="110" t="n">
        <v>1751.22</v>
      </c>
      <c r="L191" s="110" t="n">
        <v>2029.07</v>
      </c>
    </row>
    <row r="192" customFormat="false" ht="15" hidden="false" customHeight="false" outlineLevel="0" collapsed="false">
      <c r="A192" s="28" t="s">
        <v>2020</v>
      </c>
      <c r="B192" s="63" t="s">
        <v>1837</v>
      </c>
      <c r="C192" s="64" t="n">
        <f aca="false">SUM(E192:P192)</f>
        <v>8038.61</v>
      </c>
      <c r="E192" s="110" t="n">
        <v>8038.61</v>
      </c>
      <c r="F192" s="110" t="n">
        <v>0</v>
      </c>
      <c r="G192" s="110" t="n">
        <v>0</v>
      </c>
      <c r="H192" s="110" t="n">
        <v>0</v>
      </c>
      <c r="I192" s="110" t="n">
        <v>0</v>
      </c>
      <c r="J192" s="110" t="n">
        <v>0</v>
      </c>
      <c r="K192" s="110" t="n">
        <v>0</v>
      </c>
      <c r="L192" s="110" t="n">
        <v>0</v>
      </c>
    </row>
    <row r="193" customFormat="false" ht="15" hidden="false" customHeight="false" outlineLevel="0" collapsed="false">
      <c r="A193" s="28" t="s">
        <v>2021</v>
      </c>
      <c r="B193" s="63" t="s">
        <v>1837</v>
      </c>
      <c r="C193" s="64" t="n">
        <f aca="false">SUM(E193:P193)</f>
        <v>6534.62</v>
      </c>
      <c r="E193" s="110" t="n">
        <v>825.26</v>
      </c>
      <c r="F193" s="110" t="n">
        <v>670.71</v>
      </c>
      <c r="G193" s="110" t="n">
        <v>1027.85</v>
      </c>
      <c r="H193" s="110" t="n">
        <v>797.3</v>
      </c>
      <c r="I193" s="110" t="n">
        <v>665.37</v>
      </c>
      <c r="J193" s="110" t="n">
        <v>789.56</v>
      </c>
      <c r="K193" s="110" t="n">
        <v>901.1</v>
      </c>
      <c r="L193" s="110" t="n">
        <v>857.47</v>
      </c>
    </row>
    <row r="194" customFormat="false" ht="15" hidden="false" customHeight="false" outlineLevel="0" collapsed="false">
      <c r="A194" s="28" t="s">
        <v>2022</v>
      </c>
      <c r="B194" s="63" t="s">
        <v>1837</v>
      </c>
      <c r="C194" s="64" t="n">
        <f aca="false">SUM(E194:P194)</f>
        <v>35021.36</v>
      </c>
      <c r="E194" s="110" t="n">
        <v>4290.02</v>
      </c>
      <c r="F194" s="110" t="n">
        <v>5294.5</v>
      </c>
      <c r="G194" s="110" t="n">
        <v>3062.46</v>
      </c>
      <c r="H194" s="110" t="n">
        <v>4154.51</v>
      </c>
      <c r="I194" s="110" t="n">
        <v>4457.1</v>
      </c>
      <c r="J194" s="110" t="n">
        <v>6443.79</v>
      </c>
      <c r="K194" s="110" t="n">
        <v>2449.26</v>
      </c>
      <c r="L194" s="110" t="n">
        <v>4869.72</v>
      </c>
    </row>
    <row r="195" customFormat="false" ht="15" hidden="false" customHeight="false" outlineLevel="0" collapsed="false">
      <c r="A195" s="28" t="s">
        <v>2023</v>
      </c>
      <c r="B195" s="63" t="s">
        <v>1837</v>
      </c>
      <c r="C195" s="143" t="n">
        <f aca="false">SUM(E195:P195)</f>
        <v>238</v>
      </c>
      <c r="E195" s="139" t="n">
        <v>31</v>
      </c>
      <c r="F195" s="139" t="n">
        <v>35</v>
      </c>
      <c r="G195" s="139" t="n">
        <v>35</v>
      </c>
      <c r="H195" s="139" t="n">
        <v>29</v>
      </c>
      <c r="I195" s="139" t="n">
        <v>21</v>
      </c>
      <c r="J195" s="139" t="n">
        <v>32</v>
      </c>
      <c r="K195" s="139" t="n">
        <v>34</v>
      </c>
      <c r="L195" s="139" t="n">
        <v>21</v>
      </c>
    </row>
    <row r="196" customFormat="false" ht="15" hidden="false" customHeight="false" outlineLevel="0" collapsed="false">
      <c r="A196" s="28" t="s">
        <v>2024</v>
      </c>
      <c r="B196" s="63" t="s">
        <v>1837</v>
      </c>
      <c r="C196" s="143" t="n">
        <f aca="false">SUM(E196:P196)</f>
        <v>175</v>
      </c>
      <c r="E196" s="139" t="n">
        <v>21</v>
      </c>
      <c r="F196" s="139" t="n">
        <v>25</v>
      </c>
      <c r="G196" s="139" t="n">
        <v>16</v>
      </c>
      <c r="H196" s="139" t="n">
        <v>21</v>
      </c>
      <c r="I196" s="139" t="n">
        <v>23</v>
      </c>
      <c r="J196" s="139" t="n">
        <v>32</v>
      </c>
      <c r="K196" s="139" t="n">
        <v>12</v>
      </c>
      <c r="L196" s="139" t="n">
        <v>25</v>
      </c>
    </row>
    <row r="197" customFormat="false" ht="15" hidden="false" customHeight="false" outlineLevel="0" collapsed="false">
      <c r="A197" s="28" t="s">
        <v>2025</v>
      </c>
      <c r="B197" s="63" t="s">
        <v>1837</v>
      </c>
      <c r="C197" s="64" t="n">
        <f aca="false">SUM(E197:P197)</f>
        <v>40129.4</v>
      </c>
      <c r="E197" s="110" t="n">
        <v>8477.35</v>
      </c>
      <c r="F197" s="110" t="n">
        <v>4061.87</v>
      </c>
      <c r="G197" s="110" t="n">
        <v>7032.4</v>
      </c>
      <c r="H197" s="110" t="n">
        <v>4612.09</v>
      </c>
      <c r="I197" s="110" t="n">
        <v>2930.04</v>
      </c>
      <c r="J197" s="110" t="n">
        <v>4143.41</v>
      </c>
      <c r="K197" s="110" t="n">
        <v>4130.81</v>
      </c>
      <c r="L197" s="110" t="n">
        <v>4741.43</v>
      </c>
    </row>
    <row r="198" customFormat="false" ht="15" hidden="false" customHeight="false" outlineLevel="0" collapsed="false">
      <c r="A198" s="28" t="s">
        <v>2026</v>
      </c>
      <c r="B198" s="63" t="s">
        <v>1837</v>
      </c>
      <c r="C198" s="64" t="n">
        <f aca="false">SUM(E198:P198)</f>
        <v>11357.89</v>
      </c>
      <c r="E198" s="110" t="n">
        <v>1685</v>
      </c>
      <c r="F198" s="110" t="n">
        <v>1249.45</v>
      </c>
      <c r="G198" s="110" t="n">
        <v>1166.7</v>
      </c>
      <c r="H198" s="110" t="n">
        <v>1380.39</v>
      </c>
      <c r="I198" s="110" t="n">
        <v>1356.78</v>
      </c>
      <c r="J198" s="110" t="n">
        <v>1691.85</v>
      </c>
      <c r="K198" s="110" t="n">
        <v>1535.29</v>
      </c>
      <c r="L198" s="110" t="n">
        <v>1292.43</v>
      </c>
    </row>
    <row r="199" customFormat="false" ht="15" hidden="false" customHeight="false" outlineLevel="0" collapsed="false">
      <c r="A199" s="28" t="s">
        <v>2027</v>
      </c>
      <c r="B199" s="63" t="s">
        <v>1837</v>
      </c>
      <c r="C199" s="64" t="n">
        <f aca="false">SUM(E199:P199)</f>
        <v>4496.9</v>
      </c>
      <c r="E199" s="110" t="n">
        <v>889.93</v>
      </c>
      <c r="F199" s="110" t="n">
        <v>373.57</v>
      </c>
      <c r="G199" s="110" t="n">
        <v>512.29</v>
      </c>
      <c r="H199" s="110" t="n">
        <v>621.88</v>
      </c>
      <c r="I199" s="110" t="n">
        <v>606.34</v>
      </c>
      <c r="J199" s="110" t="n">
        <v>432.11</v>
      </c>
      <c r="K199" s="110" t="n">
        <v>710.24</v>
      </c>
      <c r="L199" s="110" t="n">
        <v>350.54</v>
      </c>
    </row>
    <row r="200" customFormat="false" ht="15" hidden="false" customHeight="false" outlineLevel="0" collapsed="false">
      <c r="A200" s="28" t="s">
        <v>2028</v>
      </c>
      <c r="B200" s="63" t="s">
        <v>1837</v>
      </c>
      <c r="C200" s="64" t="n">
        <f aca="false">SUM(E200:P200)</f>
        <v>2438.56</v>
      </c>
      <c r="E200" s="110" t="n">
        <v>643.75</v>
      </c>
      <c r="F200" s="110" t="n">
        <v>162.52</v>
      </c>
      <c r="G200" s="110" t="n">
        <v>309.78</v>
      </c>
      <c r="H200" s="110" t="n">
        <v>257.48</v>
      </c>
      <c r="I200" s="110" t="n">
        <v>277.9</v>
      </c>
      <c r="J200" s="110" t="n">
        <v>206.34</v>
      </c>
      <c r="K200" s="110" t="n">
        <v>401.83</v>
      </c>
      <c r="L200" s="110" t="n">
        <v>178.96</v>
      </c>
    </row>
    <row r="201" customFormat="false" ht="15" hidden="false" customHeight="false" outlineLevel="0" collapsed="false">
      <c r="A201" s="28" t="s">
        <v>2029</v>
      </c>
      <c r="B201" s="63" t="s">
        <v>1837</v>
      </c>
      <c r="C201" s="64" t="n">
        <f aca="false">SUM(E201:P201)</f>
        <v>20976.29</v>
      </c>
      <c r="E201" s="110" t="n">
        <v>3670.34</v>
      </c>
      <c r="F201" s="110" t="n">
        <v>2838.26</v>
      </c>
      <c r="G201" s="110" t="n">
        <v>4448.39</v>
      </c>
      <c r="H201" s="110" t="n">
        <v>924.67</v>
      </c>
      <c r="I201" s="110" t="n">
        <v>3484.7</v>
      </c>
      <c r="J201" s="110" t="n">
        <v>1012.71</v>
      </c>
      <c r="K201" s="110" t="n">
        <v>1896.73</v>
      </c>
      <c r="L201" s="110" t="n">
        <v>2700.49</v>
      </c>
    </row>
    <row r="202" customFormat="false" ht="15" hidden="false" customHeight="false" outlineLevel="0" collapsed="false">
      <c r="A202" s="28" t="s">
        <v>2030</v>
      </c>
      <c r="B202" s="63" t="s">
        <v>1837</v>
      </c>
      <c r="C202" s="143" t="n">
        <f aca="false">SUM(E202:P202)</f>
        <v>41</v>
      </c>
      <c r="E202" s="139" t="n">
        <v>9</v>
      </c>
      <c r="F202" s="139" t="n">
        <v>4</v>
      </c>
      <c r="G202" s="139" t="n">
        <v>7</v>
      </c>
      <c r="H202" s="139" t="n">
        <v>5</v>
      </c>
      <c r="I202" s="139" t="n">
        <v>3</v>
      </c>
      <c r="J202" s="139" t="n">
        <v>4</v>
      </c>
      <c r="K202" s="139" t="n">
        <v>4</v>
      </c>
      <c r="L202" s="139" t="n">
        <v>5</v>
      </c>
    </row>
    <row r="203" customFormat="false" ht="15" hidden="false" customHeight="false" outlineLevel="0" collapsed="false">
      <c r="A203" s="28" t="s">
        <v>2031</v>
      </c>
      <c r="B203" s="63" t="s">
        <v>1837</v>
      </c>
      <c r="C203" s="143" t="n">
        <f aca="false">SUM(E203:P203)</f>
        <v>22</v>
      </c>
      <c r="E203" s="139" t="n">
        <v>4</v>
      </c>
      <c r="F203" s="139" t="n">
        <v>3</v>
      </c>
      <c r="G203" s="139" t="n">
        <v>4</v>
      </c>
      <c r="H203" s="139" t="n">
        <v>1</v>
      </c>
      <c r="I203" s="139" t="n">
        <v>4</v>
      </c>
      <c r="J203" s="139" t="n">
        <v>1</v>
      </c>
      <c r="K203" s="139" t="n">
        <v>2</v>
      </c>
      <c r="L203" s="139" t="n">
        <v>3</v>
      </c>
    </row>
    <row r="204" customFormat="false" ht="15" hidden="false" customHeight="false" outlineLevel="0" collapsed="false">
      <c r="A204" s="28" t="s">
        <v>2032</v>
      </c>
      <c r="B204" s="63" t="s">
        <v>1837</v>
      </c>
      <c r="C204" s="64" t="n">
        <f aca="false">SUM(E204:P204)</f>
        <v>17300</v>
      </c>
      <c r="E204" s="110" t="n">
        <v>0</v>
      </c>
      <c r="F204" s="110" t="n">
        <v>0</v>
      </c>
      <c r="G204" s="110" t="n">
        <v>0</v>
      </c>
      <c r="H204" s="110" t="n">
        <v>11500</v>
      </c>
      <c r="I204" s="110" t="n">
        <v>0</v>
      </c>
      <c r="J204" s="110" t="n">
        <v>0</v>
      </c>
      <c r="K204" s="110" t="n">
        <v>5800</v>
      </c>
      <c r="L204" s="110" t="n">
        <v>0</v>
      </c>
    </row>
    <row r="205" customFormat="false" ht="15" hidden="false" customHeight="false" outlineLevel="0" collapsed="false">
      <c r="A205" s="28" t="s">
        <v>2033</v>
      </c>
      <c r="B205" s="63" t="s">
        <v>1837</v>
      </c>
      <c r="C205" s="64" t="n">
        <f aca="false">SUM(E205:P205)</f>
        <v>5624.11</v>
      </c>
      <c r="E205" s="110" t="n">
        <v>1522.91</v>
      </c>
      <c r="F205" s="110" t="n">
        <v>0</v>
      </c>
      <c r="G205" s="110" t="n">
        <v>1685.44</v>
      </c>
      <c r="H205" s="110" t="n">
        <v>112.13</v>
      </c>
      <c r="I205" s="110" t="n">
        <v>1358.75</v>
      </c>
      <c r="J205" s="110" t="n">
        <v>664.82</v>
      </c>
      <c r="K205" s="110" t="n">
        <v>280.06</v>
      </c>
      <c r="L205" s="110" t="n">
        <v>0</v>
      </c>
    </row>
    <row r="206" customFormat="false" ht="15" hidden="false" customHeight="false" outlineLevel="0" collapsed="false">
      <c r="A206" s="28" t="s">
        <v>2034</v>
      </c>
      <c r="B206" s="63" t="s">
        <v>1837</v>
      </c>
      <c r="C206" s="64" t="n">
        <f aca="false">SUM(E206:P206)</f>
        <v>2446.6</v>
      </c>
      <c r="E206" s="110" t="n">
        <v>814.99</v>
      </c>
      <c r="F206" s="110" t="n">
        <v>0</v>
      </c>
      <c r="G206" s="110" t="n">
        <v>619.37</v>
      </c>
      <c r="H206" s="110" t="n">
        <v>152.92</v>
      </c>
      <c r="I206" s="110" t="n">
        <v>321.65</v>
      </c>
      <c r="J206" s="110" t="n">
        <v>393.67</v>
      </c>
      <c r="K206" s="110" t="n">
        <v>144</v>
      </c>
      <c r="L206" s="110" t="n">
        <v>0</v>
      </c>
    </row>
    <row r="207" customFormat="false" ht="15" hidden="false" customHeight="false" outlineLevel="0" collapsed="false">
      <c r="A207" s="28" t="s">
        <v>2035</v>
      </c>
      <c r="B207" s="63" t="s">
        <v>1837</v>
      </c>
      <c r="C207" s="64" t="n">
        <f aca="false">SUM(E207:P207)</f>
        <v>0</v>
      </c>
      <c r="E207" s="110" t="n">
        <v>0</v>
      </c>
      <c r="F207" s="110" t="n">
        <v>0</v>
      </c>
      <c r="G207" s="110" t="n">
        <v>0</v>
      </c>
      <c r="H207" s="110" t="n">
        <v>0</v>
      </c>
      <c r="I207" s="110" t="n">
        <v>0</v>
      </c>
      <c r="J207" s="110" t="n">
        <v>0</v>
      </c>
      <c r="K207" s="110" t="n">
        <v>0</v>
      </c>
      <c r="L207" s="110" t="n">
        <v>0</v>
      </c>
    </row>
    <row r="208" customFormat="false" ht="15" hidden="false" customHeight="false" outlineLevel="0" collapsed="false">
      <c r="A208" s="28" t="s">
        <v>2036</v>
      </c>
      <c r="B208" s="63" t="s">
        <v>1837</v>
      </c>
      <c r="C208" s="64" t="n">
        <f aca="false">SUM(E208:P208)</f>
        <v>6888.32</v>
      </c>
      <c r="E208" s="110" t="n">
        <v>0</v>
      </c>
      <c r="F208" s="110" t="n">
        <v>6888.32</v>
      </c>
      <c r="G208" s="110" t="n">
        <v>0</v>
      </c>
      <c r="H208" s="110" t="n">
        <v>0</v>
      </c>
      <c r="I208" s="110" t="n">
        <v>0</v>
      </c>
      <c r="J208" s="110" t="n">
        <v>0</v>
      </c>
      <c r="K208" s="110" t="n">
        <v>0</v>
      </c>
      <c r="L208" s="110" t="n">
        <v>0</v>
      </c>
    </row>
    <row r="209" customFormat="false" ht="15" hidden="false" customHeight="false" outlineLevel="0" collapsed="false">
      <c r="A209" s="28" t="s">
        <v>2037</v>
      </c>
      <c r="B209" s="63" t="s">
        <v>1837</v>
      </c>
      <c r="C209" s="143" t="n">
        <f aca="false">SUM(E209:P209)</f>
        <v>2</v>
      </c>
      <c r="E209" s="139" t="n">
        <v>0</v>
      </c>
      <c r="F209" s="139" t="n">
        <v>0</v>
      </c>
      <c r="G209" s="139" t="n">
        <v>0</v>
      </c>
      <c r="H209" s="139" t="n">
        <v>1</v>
      </c>
      <c r="I209" s="139" t="n">
        <v>0</v>
      </c>
      <c r="J209" s="139" t="n">
        <v>0</v>
      </c>
      <c r="K209" s="139" t="n">
        <v>1</v>
      </c>
      <c r="L209" s="139" t="n">
        <v>0</v>
      </c>
    </row>
    <row r="210" customFormat="false" ht="15" hidden="false" customHeight="false" outlineLevel="0" collapsed="false">
      <c r="A210" s="28" t="s">
        <v>2038</v>
      </c>
      <c r="B210" s="63" t="s">
        <v>1837</v>
      </c>
      <c r="C210" s="143" t="n">
        <f aca="false">SUM(E210:P210)</f>
        <v>1</v>
      </c>
      <c r="E210" s="139" t="n">
        <v>0</v>
      </c>
      <c r="F210" s="139" t="n">
        <v>1</v>
      </c>
      <c r="G210" s="139" t="n">
        <v>0</v>
      </c>
      <c r="H210" s="139" t="n">
        <v>0</v>
      </c>
      <c r="I210" s="139" t="n">
        <v>0</v>
      </c>
      <c r="J210" s="139" t="n">
        <v>0</v>
      </c>
      <c r="K210" s="139" t="n">
        <v>0</v>
      </c>
      <c r="L210" s="139" t="n">
        <v>0</v>
      </c>
    </row>
    <row r="211" customFormat="false" ht="15" hidden="false" customHeight="false" outlineLevel="0" collapsed="false">
      <c r="A211" s="28" t="s">
        <v>2039</v>
      </c>
      <c r="B211" s="63" t="s">
        <v>2040</v>
      </c>
      <c r="C211" s="64" t="n">
        <f aca="false">SUM(E211:P211)</f>
        <v>102500</v>
      </c>
      <c r="E211" s="110" t="n">
        <v>22500</v>
      </c>
      <c r="F211" s="110" t="n">
        <v>10000</v>
      </c>
      <c r="G211" s="110" t="n">
        <v>17500</v>
      </c>
      <c r="H211" s="110" t="n">
        <v>12500</v>
      </c>
      <c r="I211" s="110" t="n">
        <v>7500</v>
      </c>
      <c r="J211" s="110" t="n">
        <v>10000</v>
      </c>
      <c r="K211" s="110" t="n">
        <v>10000</v>
      </c>
      <c r="L211" s="110" t="n">
        <v>12500</v>
      </c>
    </row>
    <row r="212" customFormat="false" ht="15" hidden="false" customHeight="false" outlineLevel="0" collapsed="false">
      <c r="A212" s="28" t="s">
        <v>2041</v>
      </c>
      <c r="B212" s="63" t="s">
        <v>2040</v>
      </c>
      <c r="C212" s="64" t="n">
        <f aca="false">SUM(E212:P212)</f>
        <v>42000</v>
      </c>
      <c r="E212" s="110" t="n">
        <v>0</v>
      </c>
      <c r="F212" s="110" t="n">
        <v>0</v>
      </c>
      <c r="G212" s="110" t="n">
        <v>0</v>
      </c>
      <c r="H212" s="110" t="n">
        <v>28000</v>
      </c>
      <c r="I212" s="110" t="n">
        <v>0</v>
      </c>
      <c r="J212" s="110" t="n">
        <v>0</v>
      </c>
      <c r="K212" s="110" t="n">
        <v>14000</v>
      </c>
      <c r="L212" s="110" t="n">
        <v>0</v>
      </c>
    </row>
    <row r="213" customFormat="false" ht="15" hidden="false" customHeight="false" outlineLevel="0" collapsed="false">
      <c r="A213" s="22" t="s">
        <v>2042</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row>
    <row r="214" customFormat="false" ht="15" hidden="false" customHeight="false" outlineLevel="0" collapsed="false">
      <c r="A214" s="28" t="s">
        <v>2043</v>
      </c>
      <c r="B214" s="63" t="s">
        <v>2044</v>
      </c>
      <c r="C214" s="64" t="n">
        <f aca="false">SUM(E214:P214)</f>
        <v>1636821.84</v>
      </c>
      <c r="E214" s="110" t="n">
        <v>193345.85</v>
      </c>
      <c r="F214" s="110" t="n">
        <v>196338.69</v>
      </c>
      <c r="G214" s="110" t="n">
        <v>201494.4</v>
      </c>
      <c r="H214" s="110" t="n">
        <v>204634.99</v>
      </c>
      <c r="I214" s="110" t="n">
        <v>206254.63</v>
      </c>
      <c r="J214" s="110" t="n">
        <v>207524.3</v>
      </c>
      <c r="K214" s="110" t="n">
        <v>213214.97</v>
      </c>
      <c r="L214" s="110" t="n">
        <v>214014.01</v>
      </c>
    </row>
    <row r="215" customFormat="false" ht="15" hidden="false" customHeight="false" outlineLevel="0" collapsed="false">
      <c r="A215" s="28" t="s">
        <v>2045</v>
      </c>
      <c r="B215" s="63" t="s">
        <v>2046</v>
      </c>
      <c r="C215" s="64" t="n">
        <f aca="false">SUM(E215:P215)</f>
        <v>44412.98</v>
      </c>
      <c r="E215" s="110" t="n">
        <v>5149.47</v>
      </c>
      <c r="F215" s="110" t="n">
        <v>5352.17</v>
      </c>
      <c r="G215" s="110" t="n">
        <v>5467.58</v>
      </c>
      <c r="H215" s="110" t="n">
        <v>5531.17</v>
      </c>
      <c r="I215" s="110" t="n">
        <v>5503.9</v>
      </c>
      <c r="J215" s="110" t="n">
        <v>5755</v>
      </c>
      <c r="K215" s="110" t="n">
        <v>5828.69</v>
      </c>
      <c r="L215" s="110" t="n">
        <v>5825</v>
      </c>
    </row>
    <row r="216" customFormat="false" ht="15" hidden="false" customHeight="false" outlineLevel="0" collapsed="false">
      <c r="A216" s="28" t="s">
        <v>2047</v>
      </c>
      <c r="B216" s="63" t="s">
        <v>2044</v>
      </c>
      <c r="C216" s="64" t="n">
        <f aca="false">SUM(E216:P216)</f>
        <v>1979505.47</v>
      </c>
      <c r="E216" s="110" t="n">
        <v>152802.29</v>
      </c>
      <c r="F216" s="110" t="n">
        <v>367731.4</v>
      </c>
      <c r="G216" s="110" t="n">
        <v>222614.01</v>
      </c>
      <c r="H216" s="110" t="n">
        <v>256633.4</v>
      </c>
      <c r="I216" s="110" t="n">
        <v>259784.97</v>
      </c>
      <c r="J216" s="110" t="n">
        <v>236936.5</v>
      </c>
      <c r="K216" s="110" t="n">
        <v>211048.56</v>
      </c>
      <c r="L216" s="110" t="n">
        <v>271954.34</v>
      </c>
    </row>
    <row r="217" customFormat="false" ht="15" hidden="false" customHeight="false" outlineLevel="0" collapsed="false">
      <c r="A217" s="28" t="s">
        <v>2048</v>
      </c>
      <c r="B217" s="63" t="s">
        <v>2044</v>
      </c>
      <c r="C217" s="64" t="n">
        <f aca="false">SUM(E217:P217)</f>
        <v>1498805.75</v>
      </c>
      <c r="E217" s="110" t="n">
        <v>156629.74</v>
      </c>
      <c r="F217" s="110" t="n">
        <v>136183.31</v>
      </c>
      <c r="G217" s="110" t="n">
        <v>272366.61</v>
      </c>
      <c r="H217" s="110" t="n">
        <v>105493.35</v>
      </c>
      <c r="I217" s="110" t="n">
        <v>299389.44</v>
      </c>
      <c r="J217" s="110" t="n">
        <v>230357.48</v>
      </c>
      <c r="K217" s="110" t="n">
        <v>154610.32</v>
      </c>
      <c r="L217" s="110" t="n">
        <v>143775.5</v>
      </c>
    </row>
    <row r="218" customFormat="false" ht="15" hidden="false" customHeight="false" outlineLevel="0" collapsed="false">
      <c r="A218" s="28" t="s">
        <v>2049</v>
      </c>
      <c r="B218" s="63" t="s">
        <v>2050</v>
      </c>
      <c r="C218" s="64" t="n">
        <f aca="false">SUM(E218:P218)</f>
        <v>9800</v>
      </c>
      <c r="E218" s="110" t="n">
        <v>0</v>
      </c>
      <c r="F218" s="110" t="n">
        <v>0</v>
      </c>
      <c r="G218" s="110" t="n">
        <v>0</v>
      </c>
      <c r="H218" s="110" t="n">
        <v>0</v>
      </c>
      <c r="I218" s="110" t="n">
        <v>0</v>
      </c>
      <c r="J218" s="110" t="n">
        <v>9800</v>
      </c>
      <c r="K218" s="110" t="n">
        <v>0</v>
      </c>
      <c r="L218" s="110" t="n">
        <v>0</v>
      </c>
    </row>
    <row r="219" customFormat="false" ht="15" hidden="false" customHeight="false" outlineLevel="0" collapsed="false">
      <c r="A219" s="22" t="s">
        <v>2051</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row>
    <row r="220" customFormat="false" ht="15" hidden="false" customHeight="false" outlineLevel="0" collapsed="false">
      <c r="A220" s="28" t="s">
        <v>1170</v>
      </c>
      <c r="B220" s="63" t="s">
        <v>2052</v>
      </c>
      <c r="C220" s="64" t="n">
        <f aca="false">SUM(E220:P220)</f>
        <v>1050095.23</v>
      </c>
      <c r="E220" s="110" t="n">
        <v>122804.7</v>
      </c>
      <c r="F220" s="110" t="n">
        <v>126686.33</v>
      </c>
      <c r="G220" s="110" t="n">
        <v>131059.25</v>
      </c>
      <c r="H220" s="110" t="n">
        <v>132169.84</v>
      </c>
      <c r="I220" s="110" t="n">
        <v>134514.72</v>
      </c>
      <c r="J220" s="110" t="n">
        <v>134866.1</v>
      </c>
      <c r="K220" s="110" t="n">
        <v>133725.12</v>
      </c>
      <c r="L220" s="110" t="n">
        <v>134269.17</v>
      </c>
    </row>
    <row r="221" customFormat="false" ht="15" hidden="false" customHeight="false" outlineLevel="0" collapsed="false">
      <c r="A221" s="28" t="s">
        <v>2053</v>
      </c>
      <c r="B221" s="63" t="s">
        <v>2052</v>
      </c>
      <c r="C221" s="64" t="n">
        <f aca="false">SUM(E221:P221)</f>
        <v>150071.43</v>
      </c>
      <c r="E221" s="110" t="n">
        <v>17559.52</v>
      </c>
      <c r="F221" s="110" t="n">
        <v>18083.33</v>
      </c>
      <c r="G221" s="110" t="n">
        <v>18773.81</v>
      </c>
      <c r="H221" s="110" t="n">
        <v>18773.81</v>
      </c>
      <c r="I221" s="110" t="n">
        <v>19297.62</v>
      </c>
      <c r="J221" s="110" t="n">
        <v>19297.62</v>
      </c>
      <c r="K221" s="110" t="n">
        <v>19142.86</v>
      </c>
      <c r="L221" s="110" t="n">
        <v>19142.86</v>
      </c>
    </row>
    <row r="222" customFormat="false" ht="15" hidden="false" customHeight="false" outlineLevel="0" collapsed="false">
      <c r="A222" s="28" t="s">
        <v>1174</v>
      </c>
      <c r="B222" s="63" t="s">
        <v>2052</v>
      </c>
      <c r="C222" s="64" t="n">
        <f aca="false">SUM(E222:P222)</f>
        <v>900023.8</v>
      </c>
      <c r="E222" s="110" t="n">
        <v>105245.18</v>
      </c>
      <c r="F222" s="110" t="n">
        <v>108603</v>
      </c>
      <c r="G222" s="110" t="n">
        <v>112285.44</v>
      </c>
      <c r="H222" s="110" t="n">
        <v>113396.03</v>
      </c>
      <c r="I222" s="110" t="n">
        <v>115217.1</v>
      </c>
      <c r="J222" s="110" t="n">
        <v>115568.48</v>
      </c>
      <c r="K222" s="110" t="n">
        <v>114582.26</v>
      </c>
      <c r="L222" s="110" t="n">
        <v>115126.31</v>
      </c>
    </row>
    <row r="223" customFormat="false" ht="15" hidden="false" customHeight="false" outlineLevel="0" collapsed="false">
      <c r="A223" s="28" t="s">
        <v>2054</v>
      </c>
      <c r="B223" s="63" t="s">
        <v>2052</v>
      </c>
      <c r="C223" s="64" t="n">
        <f aca="false">SUM(E223:P223)</f>
        <v>111785.71</v>
      </c>
      <c r="E223" s="110" t="n">
        <v>0</v>
      </c>
      <c r="F223" s="110" t="n">
        <v>0</v>
      </c>
      <c r="G223" s="110" t="n">
        <v>0</v>
      </c>
      <c r="H223" s="110" t="n">
        <v>0</v>
      </c>
      <c r="I223" s="110" t="n">
        <v>0</v>
      </c>
      <c r="J223" s="110" t="n">
        <v>111785.71</v>
      </c>
      <c r="K223" s="110" t="n">
        <v>0</v>
      </c>
      <c r="L223" s="110" t="n">
        <v>0</v>
      </c>
    </row>
    <row r="224" customFormat="false" ht="15" hidden="false" customHeight="false" outlineLevel="0" collapsed="false">
      <c r="A224" s="28" t="s">
        <v>1171</v>
      </c>
      <c r="B224" s="63" t="s">
        <v>2052</v>
      </c>
      <c r="C224" s="64" t="n">
        <f aca="false">SUM(E224:P224)</f>
        <v>319912.73</v>
      </c>
      <c r="E224" s="110" t="n">
        <v>37201.05</v>
      </c>
      <c r="F224" s="110" t="n">
        <v>38505.16</v>
      </c>
      <c r="G224" s="110" t="n">
        <v>39884.89</v>
      </c>
      <c r="H224" s="110" t="n">
        <v>40052.96</v>
      </c>
      <c r="I224" s="110" t="n">
        <v>41342.21</v>
      </c>
      <c r="J224" s="110" t="n">
        <v>41179.99</v>
      </c>
      <c r="K224" s="110" t="n">
        <v>40860.65</v>
      </c>
      <c r="L224" s="110" t="n">
        <v>40885.82</v>
      </c>
    </row>
    <row r="225" customFormat="false" ht="15" hidden="false" customHeight="false" outlineLevel="0" collapsed="false">
      <c r="A225" s="28" t="s">
        <v>1178</v>
      </c>
      <c r="B225" s="63" t="s">
        <v>2052</v>
      </c>
      <c r="C225" s="64" t="n">
        <f aca="false">SUM(E225:P225)</f>
        <v>64658.27</v>
      </c>
      <c r="E225" s="110" t="n">
        <v>7526.83</v>
      </c>
      <c r="F225" s="110" t="n">
        <v>7796.78</v>
      </c>
      <c r="G225" s="110" t="n">
        <v>8098.77</v>
      </c>
      <c r="H225" s="110" t="n">
        <v>8056.26</v>
      </c>
      <c r="I225" s="110" t="n">
        <v>8341.38</v>
      </c>
      <c r="J225" s="110" t="n">
        <v>8317.95</v>
      </c>
      <c r="K225" s="110" t="n">
        <v>8256.84</v>
      </c>
      <c r="L225" s="110" t="n">
        <v>8263.46</v>
      </c>
    </row>
    <row r="226" customFormat="false" ht="15" hidden="false" customHeight="false" outlineLevel="0" collapsed="false">
      <c r="A226" s="28" t="s">
        <v>1179</v>
      </c>
      <c r="B226" s="63" t="s">
        <v>2052</v>
      </c>
      <c r="C226" s="64" t="n">
        <f aca="false">SUM(E226:P226)</f>
        <v>212351.19</v>
      </c>
      <c r="E226" s="110" t="n">
        <v>22216.43</v>
      </c>
      <c r="F226" s="110" t="n">
        <v>22782.14</v>
      </c>
      <c r="G226" s="110" t="n">
        <v>23693.57</v>
      </c>
      <c r="H226" s="110" t="n">
        <v>23693.57</v>
      </c>
      <c r="I226" s="110" t="n">
        <v>24259.29</v>
      </c>
      <c r="J226" s="110" t="n">
        <v>47743.33</v>
      </c>
      <c r="K226" s="110" t="n">
        <v>23981.43</v>
      </c>
      <c r="L226" s="110" t="n">
        <v>23981.43</v>
      </c>
    </row>
    <row r="227" customFormat="false" ht="15" hidden="false" customHeight="false" outlineLevel="0" collapsed="false">
      <c r="A227" s="28" t="s">
        <v>1182</v>
      </c>
      <c r="B227" s="63" t="s">
        <v>2052</v>
      </c>
      <c r="C227" s="64" t="n">
        <f aca="false">SUM(E227:P227)</f>
        <v>245872.5</v>
      </c>
      <c r="E227" s="110" t="n">
        <v>30758.48</v>
      </c>
      <c r="F227" s="110" t="n">
        <v>30689.53</v>
      </c>
      <c r="G227" s="110" t="n">
        <v>30706.96</v>
      </c>
      <c r="H227" s="110" t="n">
        <v>30750.12</v>
      </c>
      <c r="I227" s="110" t="n">
        <v>30771.62</v>
      </c>
      <c r="J227" s="110" t="n">
        <v>30753.15</v>
      </c>
      <c r="K227" s="110" t="n">
        <v>30719.75</v>
      </c>
      <c r="L227" s="110" t="n">
        <v>30722.89</v>
      </c>
    </row>
    <row r="228" customFormat="false" ht="15" hidden="false" customHeight="false" outlineLevel="0" collapsed="false">
      <c r="A228" s="28" t="s">
        <v>2055</v>
      </c>
      <c r="B228" s="63" t="s">
        <v>2052</v>
      </c>
      <c r="C228" s="64" t="n">
        <f aca="false">SUM(E228:P228)</f>
        <v>35142.88</v>
      </c>
      <c r="E228" s="110" t="n">
        <v>4392.86</v>
      </c>
      <c r="F228" s="110" t="n">
        <v>4392.86</v>
      </c>
      <c r="G228" s="110" t="n">
        <v>4392.86</v>
      </c>
      <c r="H228" s="110" t="n">
        <v>4392.86</v>
      </c>
      <c r="I228" s="110" t="n">
        <v>4392.86</v>
      </c>
      <c r="J228" s="110" t="n">
        <v>4392.86</v>
      </c>
      <c r="K228" s="110" t="n">
        <v>4392.86</v>
      </c>
      <c r="L228" s="110" t="n">
        <v>4392.86</v>
      </c>
    </row>
    <row r="229" customFormat="false" ht="15" hidden="false" customHeight="false" outlineLevel="0" collapsed="false">
      <c r="A229" s="28" t="s">
        <v>1185</v>
      </c>
      <c r="B229" s="63" t="s">
        <v>2052</v>
      </c>
      <c r="C229" s="64" t="n">
        <f aca="false">SUM(E229:P229)</f>
        <v>210729.62</v>
      </c>
      <c r="E229" s="110" t="n">
        <v>26365.62</v>
      </c>
      <c r="F229" s="110" t="n">
        <v>26296.67</v>
      </c>
      <c r="G229" s="110" t="n">
        <v>26314.1</v>
      </c>
      <c r="H229" s="110" t="n">
        <v>26357.26</v>
      </c>
      <c r="I229" s="110" t="n">
        <v>26378.76</v>
      </c>
      <c r="J229" s="110" t="n">
        <v>26360.29</v>
      </c>
      <c r="K229" s="110" t="n">
        <v>26326.89</v>
      </c>
      <c r="L229" s="110" t="n">
        <v>26330.03</v>
      </c>
    </row>
    <row r="230" customFormat="false" ht="15" hidden="false" customHeight="false" outlineLevel="0" collapsed="false">
      <c r="A230" s="28" t="s">
        <v>2056</v>
      </c>
      <c r="B230" s="63" t="s">
        <v>2052</v>
      </c>
      <c r="C230" s="64" t="n">
        <f aca="false">SUM(E230:P230)</f>
        <v>26357.16</v>
      </c>
      <c r="E230" s="110" t="n">
        <v>0</v>
      </c>
      <c r="F230" s="110" t="n">
        <v>0</v>
      </c>
      <c r="G230" s="110" t="n">
        <v>0</v>
      </c>
      <c r="H230" s="110" t="n">
        <v>0</v>
      </c>
      <c r="I230" s="110" t="n">
        <v>0</v>
      </c>
      <c r="J230" s="110" t="n">
        <v>26357.16</v>
      </c>
      <c r="K230" s="110" t="n">
        <v>0</v>
      </c>
      <c r="L230" s="110" t="n">
        <v>0</v>
      </c>
    </row>
    <row r="231" customFormat="false" ht="15" hidden="false" customHeight="false" outlineLevel="0" collapsed="false">
      <c r="A231" s="28" t="s">
        <v>1183</v>
      </c>
      <c r="B231" s="63" t="s">
        <v>2052</v>
      </c>
      <c r="C231" s="64" t="n">
        <f aca="false">SUM(E231:P231)</f>
        <v>79151.33</v>
      </c>
      <c r="E231" s="110" t="n">
        <v>9915.95</v>
      </c>
      <c r="F231" s="110" t="n">
        <v>9899.32</v>
      </c>
      <c r="G231" s="110" t="n">
        <v>9936.72</v>
      </c>
      <c r="H231" s="110" t="n">
        <v>9878.26</v>
      </c>
      <c r="I231" s="110" t="n">
        <v>9898.2</v>
      </c>
      <c r="J231" s="110" t="n">
        <v>9851.36</v>
      </c>
      <c r="K231" s="110" t="n">
        <v>9880.98</v>
      </c>
      <c r="L231" s="110" t="n">
        <v>9890.54</v>
      </c>
    </row>
    <row r="232" customFormat="false" ht="15" hidden="false" customHeight="false" outlineLevel="0" collapsed="false">
      <c r="A232" s="28" t="s">
        <v>1188</v>
      </c>
      <c r="B232" s="63" t="s">
        <v>2052</v>
      </c>
      <c r="C232" s="64" t="n">
        <f aca="false">SUM(E232:P232)</f>
        <v>15999.53</v>
      </c>
      <c r="E232" s="110" t="n">
        <v>2001.42</v>
      </c>
      <c r="F232" s="110" t="n">
        <v>1995.1</v>
      </c>
      <c r="G232" s="110" t="n">
        <v>2001.16</v>
      </c>
      <c r="H232" s="110" t="n">
        <v>2000.59</v>
      </c>
      <c r="I232" s="110" t="n">
        <v>2008.7</v>
      </c>
      <c r="J232" s="110" t="n">
        <v>1996.7</v>
      </c>
      <c r="K232" s="110" t="n">
        <v>1995.09</v>
      </c>
      <c r="L232" s="110" t="n">
        <v>2000.77</v>
      </c>
    </row>
    <row r="233" customFormat="false" ht="15" hidden="false" customHeight="false" outlineLevel="0" collapsed="false">
      <c r="A233" s="28" t="s">
        <v>1189</v>
      </c>
      <c r="B233" s="63" t="s">
        <v>2052</v>
      </c>
      <c r="C233" s="64" t="n">
        <f aca="false">SUM(E233:P233)</f>
        <v>48040.73</v>
      </c>
      <c r="E233" s="110" t="n">
        <v>5337.86</v>
      </c>
      <c r="F233" s="110" t="n">
        <v>5337.86</v>
      </c>
      <c r="G233" s="110" t="n">
        <v>5337.86</v>
      </c>
      <c r="H233" s="110" t="n">
        <v>5337.86</v>
      </c>
      <c r="I233" s="110" t="n">
        <v>5337.86</v>
      </c>
      <c r="J233" s="110" t="n">
        <v>10675.71</v>
      </c>
      <c r="K233" s="110" t="n">
        <v>5337.86</v>
      </c>
      <c r="L233" s="110" t="n">
        <v>5337.86</v>
      </c>
    </row>
    <row r="234" customFormat="false" ht="15" hidden="false" customHeight="false" outlineLevel="0" collapsed="false">
      <c r="A234" s="28" t="s">
        <v>1192</v>
      </c>
      <c r="B234" s="63" t="s">
        <v>2052</v>
      </c>
      <c r="C234" s="64" t="n">
        <f aca="false">SUM(E234:P234)</f>
        <v>150862.33</v>
      </c>
      <c r="E234" s="110" t="n">
        <v>18038.46</v>
      </c>
      <c r="F234" s="110" t="n">
        <v>18029.61</v>
      </c>
      <c r="G234" s="110" t="n">
        <v>17995.46</v>
      </c>
      <c r="H234" s="110" t="n">
        <v>17969.05</v>
      </c>
      <c r="I234" s="110" t="n">
        <v>20266.69</v>
      </c>
      <c r="J234" s="110" t="n">
        <v>20239.75</v>
      </c>
      <c r="K234" s="110" t="n">
        <v>20291.02</v>
      </c>
      <c r="L234" s="110" t="n">
        <v>18032.29</v>
      </c>
    </row>
    <row r="235" customFormat="false" ht="15" hidden="false" customHeight="false" outlineLevel="0" collapsed="false">
      <c r="A235" s="28" t="s">
        <v>2057</v>
      </c>
      <c r="B235" s="63" t="s">
        <v>2052</v>
      </c>
      <c r="C235" s="64" t="n">
        <f aca="false">SUM(E235:P235)</f>
        <v>21535.73</v>
      </c>
      <c r="E235" s="110" t="n">
        <v>2571.43</v>
      </c>
      <c r="F235" s="110" t="n">
        <v>2571.43</v>
      </c>
      <c r="G235" s="110" t="n">
        <v>2571.43</v>
      </c>
      <c r="H235" s="110" t="n">
        <v>2571.43</v>
      </c>
      <c r="I235" s="110" t="n">
        <v>2892.86</v>
      </c>
      <c r="J235" s="110" t="n">
        <v>2892.86</v>
      </c>
      <c r="K235" s="110" t="n">
        <v>2892.86</v>
      </c>
      <c r="L235" s="110" t="n">
        <v>2571.43</v>
      </c>
    </row>
    <row r="236" customFormat="false" ht="15" hidden="false" customHeight="false" outlineLevel="0" collapsed="false">
      <c r="A236" s="28" t="s">
        <v>1195</v>
      </c>
      <c r="B236" s="63" t="s">
        <v>2052</v>
      </c>
      <c r="C236" s="64" t="n">
        <f aca="false">SUM(E236:P236)</f>
        <v>129326.6</v>
      </c>
      <c r="E236" s="110" t="n">
        <v>15467.03</v>
      </c>
      <c r="F236" s="110" t="n">
        <v>15458.18</v>
      </c>
      <c r="G236" s="110" t="n">
        <v>15424.03</v>
      </c>
      <c r="H236" s="110" t="n">
        <v>15397.62</v>
      </c>
      <c r="I236" s="110" t="n">
        <v>17373.83</v>
      </c>
      <c r="J236" s="110" t="n">
        <v>17346.89</v>
      </c>
      <c r="K236" s="110" t="n">
        <v>17398.16</v>
      </c>
      <c r="L236" s="110" t="n">
        <v>15460.86</v>
      </c>
    </row>
    <row r="237" customFormat="false" ht="15" hidden="false" customHeight="false" outlineLevel="0" collapsed="false">
      <c r="A237" s="28" t="s">
        <v>2058</v>
      </c>
      <c r="B237" s="63" t="s">
        <v>2052</v>
      </c>
      <c r="C237" s="64" t="n">
        <f aca="false">SUM(E237:P237)</f>
        <v>16071.44</v>
      </c>
      <c r="E237" s="110" t="n">
        <v>0</v>
      </c>
      <c r="F237" s="110" t="n">
        <v>0</v>
      </c>
      <c r="G237" s="110" t="n">
        <v>0</v>
      </c>
      <c r="H237" s="110" t="n">
        <v>0</v>
      </c>
      <c r="I237" s="110" t="n">
        <v>0</v>
      </c>
      <c r="J237" s="110" t="n">
        <v>16071.44</v>
      </c>
      <c r="K237" s="110" t="n">
        <v>0</v>
      </c>
      <c r="L237" s="110" t="n">
        <v>0</v>
      </c>
    </row>
    <row r="238" customFormat="false" ht="15" hidden="false" customHeight="false" outlineLevel="0" collapsed="false">
      <c r="A238" s="28" t="s">
        <v>1193</v>
      </c>
      <c r="B238" s="63" t="s">
        <v>2052</v>
      </c>
      <c r="C238" s="64" t="n">
        <f aca="false">SUM(E238:P238)</f>
        <v>48457.7</v>
      </c>
      <c r="E238" s="110" t="n">
        <v>5794.33</v>
      </c>
      <c r="F238" s="110" t="n">
        <v>5777.62</v>
      </c>
      <c r="G238" s="110" t="n">
        <v>5791.61</v>
      </c>
      <c r="H238" s="110" t="n">
        <v>5790.6</v>
      </c>
      <c r="I238" s="110" t="n">
        <v>6502.87</v>
      </c>
      <c r="J238" s="110" t="n">
        <v>6508.64</v>
      </c>
      <c r="K238" s="110" t="n">
        <v>6497.11</v>
      </c>
      <c r="L238" s="110" t="n">
        <v>5794.92</v>
      </c>
    </row>
    <row r="239" customFormat="false" ht="15" hidden="false" customHeight="false" outlineLevel="0" collapsed="false">
      <c r="A239" s="28" t="s">
        <v>1198</v>
      </c>
      <c r="B239" s="63" t="s">
        <v>2052</v>
      </c>
      <c r="C239" s="64" t="n">
        <f aca="false">SUM(E239:P239)</f>
        <v>9796.12</v>
      </c>
      <c r="E239" s="110" t="n">
        <v>1168.2</v>
      </c>
      <c r="F239" s="110" t="n">
        <v>1170.53</v>
      </c>
      <c r="G239" s="110" t="n">
        <v>1172.05</v>
      </c>
      <c r="H239" s="110" t="n">
        <v>1169.77</v>
      </c>
      <c r="I239" s="110" t="n">
        <v>1317.99</v>
      </c>
      <c r="J239" s="110" t="n">
        <v>1318.21</v>
      </c>
      <c r="K239" s="110" t="n">
        <v>1317.76</v>
      </c>
      <c r="L239" s="110" t="n">
        <v>1161.61</v>
      </c>
    </row>
    <row r="240" customFormat="false" ht="15" hidden="false" customHeight="false" outlineLevel="0" collapsed="false">
      <c r="A240" s="28" t="s">
        <v>1199</v>
      </c>
      <c r="B240" s="63" t="s">
        <v>2052</v>
      </c>
      <c r="C240" s="64" t="n">
        <f aca="false">SUM(E240:P240)</f>
        <v>15981.42</v>
      </c>
      <c r="E240" s="110" t="n">
        <v>1697.14</v>
      </c>
      <c r="F240" s="110" t="n">
        <v>1697.14</v>
      </c>
      <c r="G240" s="110" t="n">
        <v>1697.14</v>
      </c>
      <c r="H240" s="110" t="n">
        <v>1697.14</v>
      </c>
      <c r="I240" s="110" t="n">
        <v>1909.29</v>
      </c>
      <c r="J240" s="110" t="n">
        <v>3677.14</v>
      </c>
      <c r="K240" s="110" t="n">
        <v>1909.29</v>
      </c>
      <c r="L240" s="110" t="n">
        <v>1697.14</v>
      </c>
    </row>
    <row r="241" customFormat="false" ht="15" hidden="false" customHeight="false" outlineLevel="0" collapsed="false">
      <c r="A241" s="28" t="s">
        <v>1202</v>
      </c>
      <c r="B241" s="63" t="s">
        <v>2052</v>
      </c>
      <c r="C241" s="64" t="n">
        <f aca="false">SUM(E241:P241)</f>
        <v>138769.09</v>
      </c>
      <c r="E241" s="110" t="n">
        <v>15423.78</v>
      </c>
      <c r="F241" s="110" t="n">
        <v>15432.3</v>
      </c>
      <c r="G241" s="110" t="n">
        <v>15461.49</v>
      </c>
      <c r="H241" s="110" t="n">
        <v>18533.64</v>
      </c>
      <c r="I241" s="110" t="n">
        <v>18545.17</v>
      </c>
      <c r="J241" s="110" t="n">
        <v>18476</v>
      </c>
      <c r="K241" s="110" t="n">
        <v>18431.15</v>
      </c>
      <c r="L241" s="110" t="n">
        <v>18465.56</v>
      </c>
    </row>
    <row r="242" customFormat="false" ht="15" hidden="false" customHeight="false" outlineLevel="0" collapsed="false">
      <c r="A242" s="28" t="s">
        <v>2059</v>
      </c>
      <c r="B242" s="63" t="s">
        <v>2052</v>
      </c>
      <c r="C242" s="64" t="n">
        <f aca="false">SUM(E242:P242)</f>
        <v>19821.44</v>
      </c>
      <c r="E242" s="110" t="n">
        <v>2202.38</v>
      </c>
      <c r="F242" s="110" t="n">
        <v>2202.38</v>
      </c>
      <c r="G242" s="110" t="n">
        <v>2202.38</v>
      </c>
      <c r="H242" s="110" t="n">
        <v>2642.86</v>
      </c>
      <c r="I242" s="110" t="n">
        <v>2642.86</v>
      </c>
      <c r="J242" s="110" t="n">
        <v>2642.86</v>
      </c>
      <c r="K242" s="110" t="n">
        <v>2642.86</v>
      </c>
      <c r="L242" s="110" t="n">
        <v>2642.86</v>
      </c>
    </row>
    <row r="243" customFormat="false" ht="15" hidden="false" customHeight="false" outlineLevel="0" collapsed="false">
      <c r="A243" s="28" t="s">
        <v>1205</v>
      </c>
      <c r="B243" s="63" t="s">
        <v>2052</v>
      </c>
      <c r="C243" s="64" t="n">
        <f aca="false">SUM(E243:P243)</f>
        <v>118947.65</v>
      </c>
      <c r="E243" s="110" t="n">
        <v>13221.4</v>
      </c>
      <c r="F243" s="110" t="n">
        <v>13229.92</v>
      </c>
      <c r="G243" s="110" t="n">
        <v>13259.11</v>
      </c>
      <c r="H243" s="110" t="n">
        <v>15890.78</v>
      </c>
      <c r="I243" s="110" t="n">
        <v>15902.31</v>
      </c>
      <c r="J243" s="110" t="n">
        <v>15833.14</v>
      </c>
      <c r="K243" s="110" t="n">
        <v>15788.29</v>
      </c>
      <c r="L243" s="110" t="n">
        <v>15822.7</v>
      </c>
    </row>
    <row r="244" customFormat="false" ht="15" hidden="false" customHeight="false" outlineLevel="0" collapsed="false">
      <c r="A244" s="28" t="s">
        <v>2060</v>
      </c>
      <c r="B244" s="63" t="s">
        <v>2052</v>
      </c>
      <c r="C244" s="64" t="n">
        <f aca="false">SUM(E244:P244)</f>
        <v>14535.72</v>
      </c>
      <c r="E244" s="110" t="n">
        <v>0</v>
      </c>
      <c r="F244" s="110" t="n">
        <v>0</v>
      </c>
      <c r="G244" s="110" t="n">
        <v>0</v>
      </c>
      <c r="H244" s="110" t="n">
        <v>0</v>
      </c>
      <c r="I244" s="110" t="n">
        <v>0</v>
      </c>
      <c r="J244" s="110" t="n">
        <v>14535.72</v>
      </c>
      <c r="K244" s="110" t="n">
        <v>0</v>
      </c>
      <c r="L244" s="110" t="n">
        <v>0</v>
      </c>
    </row>
    <row r="245" customFormat="false" ht="15" hidden="false" customHeight="false" outlineLevel="0" collapsed="false">
      <c r="A245" s="28" t="s">
        <v>1203</v>
      </c>
      <c r="B245" s="63" t="s">
        <v>2052</v>
      </c>
      <c r="C245" s="64" t="n">
        <f aca="false">SUM(E245:P245)</f>
        <v>44591.34</v>
      </c>
      <c r="E245" s="110" t="n">
        <v>4967.31</v>
      </c>
      <c r="F245" s="110" t="n">
        <v>4951.73</v>
      </c>
      <c r="G245" s="110" t="n">
        <v>4950.21</v>
      </c>
      <c r="H245" s="110" t="n">
        <v>5951.1</v>
      </c>
      <c r="I245" s="110" t="n">
        <v>5962.31</v>
      </c>
      <c r="J245" s="110" t="n">
        <v>5943.02</v>
      </c>
      <c r="K245" s="110" t="n">
        <v>5922.83</v>
      </c>
      <c r="L245" s="110" t="n">
        <v>5942.83</v>
      </c>
    </row>
    <row r="246" customFormat="false" ht="15" hidden="false" customHeight="false" outlineLevel="0" collapsed="false">
      <c r="A246" s="28" t="s">
        <v>1208</v>
      </c>
      <c r="B246" s="63" t="s">
        <v>2052</v>
      </c>
      <c r="C246" s="64" t="n">
        <f aca="false">SUM(E246:P246)</f>
        <v>9019.14</v>
      </c>
      <c r="E246" s="110" t="n">
        <v>1001.48</v>
      </c>
      <c r="F246" s="110" t="n">
        <v>1000.94</v>
      </c>
      <c r="G246" s="110" t="n">
        <v>997.59</v>
      </c>
      <c r="H246" s="110" t="n">
        <v>1209.77</v>
      </c>
      <c r="I246" s="110" t="n">
        <v>1197.37</v>
      </c>
      <c r="J246" s="110" t="n">
        <v>1203.18</v>
      </c>
      <c r="K246" s="110" t="n">
        <v>1205.06</v>
      </c>
      <c r="L246" s="110" t="n">
        <v>1203.75</v>
      </c>
    </row>
    <row r="247" customFormat="false" ht="15" hidden="false" customHeight="false" outlineLevel="0" collapsed="false">
      <c r="A247" s="28" t="s">
        <v>1209</v>
      </c>
      <c r="B247" s="63" t="s">
        <v>2052</v>
      </c>
      <c r="C247" s="64" t="n">
        <f aca="false">SUM(E247:P247)</f>
        <v>20019.63</v>
      </c>
      <c r="E247" s="110" t="n">
        <v>1982.14</v>
      </c>
      <c r="F247" s="110" t="n">
        <v>1982.14</v>
      </c>
      <c r="G247" s="110" t="n">
        <v>1982.14</v>
      </c>
      <c r="H247" s="110" t="n">
        <v>2378.57</v>
      </c>
      <c r="I247" s="110" t="n">
        <v>2378.57</v>
      </c>
      <c r="J247" s="110" t="n">
        <v>4558.93</v>
      </c>
      <c r="K247" s="110" t="n">
        <v>2378.57</v>
      </c>
      <c r="L247" s="110" t="n">
        <v>2378.57</v>
      </c>
    </row>
    <row r="248" customFormat="false" ht="15" hidden="false" customHeight="false" outlineLevel="0" collapsed="false">
      <c r="A248" s="28" t="s">
        <v>1212</v>
      </c>
      <c r="B248" s="63" t="s">
        <v>2052</v>
      </c>
      <c r="C248" s="64" t="n">
        <f aca="false">SUM(E248:P248)</f>
        <v>150560.38</v>
      </c>
      <c r="E248" s="110" t="n">
        <v>17497.47</v>
      </c>
      <c r="F248" s="110" t="n">
        <v>17508.71</v>
      </c>
      <c r="G248" s="110" t="n">
        <v>17507.8</v>
      </c>
      <c r="H248" s="110" t="n">
        <v>17526.36</v>
      </c>
      <c r="I248" s="110" t="n">
        <v>17501.32</v>
      </c>
      <c r="J248" s="110" t="n">
        <v>20971.94</v>
      </c>
      <c r="K248" s="110" t="n">
        <v>20979.06</v>
      </c>
      <c r="L248" s="110" t="n">
        <v>21067.72</v>
      </c>
    </row>
    <row r="249" customFormat="false" ht="15" hidden="false" customHeight="false" outlineLevel="0" collapsed="false">
      <c r="A249" s="28" t="s">
        <v>2061</v>
      </c>
      <c r="B249" s="63" t="s">
        <v>2052</v>
      </c>
      <c r="C249" s="64" t="n">
        <f aca="false">SUM(E249:P249)</f>
        <v>21500</v>
      </c>
      <c r="E249" s="110" t="n">
        <v>2500</v>
      </c>
      <c r="F249" s="110" t="n">
        <v>2500</v>
      </c>
      <c r="G249" s="110" t="n">
        <v>2500</v>
      </c>
      <c r="H249" s="110" t="n">
        <v>2500</v>
      </c>
      <c r="I249" s="110" t="n">
        <v>2500</v>
      </c>
      <c r="J249" s="110" t="n">
        <v>3000</v>
      </c>
      <c r="K249" s="110" t="n">
        <v>3000</v>
      </c>
      <c r="L249" s="110" t="n">
        <v>3000</v>
      </c>
    </row>
    <row r="250" customFormat="false" ht="15" hidden="false" customHeight="false" outlineLevel="0" collapsed="false">
      <c r="A250" s="28" t="s">
        <v>1215</v>
      </c>
      <c r="B250" s="63" t="s">
        <v>2052</v>
      </c>
      <c r="C250" s="64" t="n">
        <f aca="false">SUM(E250:P250)</f>
        <v>129060.38</v>
      </c>
      <c r="E250" s="110" t="n">
        <v>14997.47</v>
      </c>
      <c r="F250" s="110" t="n">
        <v>15008.71</v>
      </c>
      <c r="G250" s="110" t="n">
        <v>15007.8</v>
      </c>
      <c r="H250" s="110" t="n">
        <v>15026.36</v>
      </c>
      <c r="I250" s="110" t="n">
        <v>15001.32</v>
      </c>
      <c r="J250" s="110" t="n">
        <v>17971.94</v>
      </c>
      <c r="K250" s="110" t="n">
        <v>17979.06</v>
      </c>
      <c r="L250" s="110" t="n">
        <v>18067.72</v>
      </c>
    </row>
    <row r="251" customFormat="false" ht="15" hidden="false" customHeight="false" outlineLevel="0" collapsed="false">
      <c r="A251" s="28" t="s">
        <v>2062</v>
      </c>
      <c r="B251" s="63" t="s">
        <v>2052</v>
      </c>
      <c r="C251" s="64" t="n">
        <f aca="false">SUM(E251:P251)</f>
        <v>15500</v>
      </c>
      <c r="E251" s="110" t="n">
        <v>0</v>
      </c>
      <c r="F251" s="110" t="n">
        <v>0</v>
      </c>
      <c r="G251" s="110" t="n">
        <v>0</v>
      </c>
      <c r="H251" s="110" t="n">
        <v>0</v>
      </c>
      <c r="I251" s="110" t="n">
        <v>0</v>
      </c>
      <c r="J251" s="110" t="n">
        <v>15500</v>
      </c>
      <c r="K251" s="110" t="n">
        <v>0</v>
      </c>
      <c r="L251" s="110" t="n">
        <v>0</v>
      </c>
    </row>
    <row r="252" customFormat="false" ht="15" hidden="false" customHeight="false" outlineLevel="0" collapsed="false">
      <c r="A252" s="28" t="s">
        <v>1213</v>
      </c>
      <c r="B252" s="63" t="s">
        <v>2052</v>
      </c>
      <c r="C252" s="64" t="n">
        <f aca="false">SUM(E252:P252)</f>
        <v>48405.88</v>
      </c>
      <c r="E252" s="110" t="n">
        <v>5635.83</v>
      </c>
      <c r="F252" s="110" t="n">
        <v>5637.28</v>
      </c>
      <c r="G252" s="110" t="n">
        <v>5633.8</v>
      </c>
      <c r="H252" s="110" t="n">
        <v>5622.79</v>
      </c>
      <c r="I252" s="110" t="n">
        <v>5634.69</v>
      </c>
      <c r="J252" s="110" t="n">
        <v>6744.87</v>
      </c>
      <c r="K252" s="110" t="n">
        <v>6747.9</v>
      </c>
      <c r="L252" s="110" t="n">
        <v>6748.72</v>
      </c>
    </row>
    <row r="253" customFormat="false" ht="15" hidden="false" customHeight="false" outlineLevel="0" collapsed="false">
      <c r="A253" s="28" t="s">
        <v>1218</v>
      </c>
      <c r="B253" s="63" t="s">
        <v>2052</v>
      </c>
      <c r="C253" s="64" t="n">
        <f aca="false">SUM(E253:P253)</f>
        <v>9774.61</v>
      </c>
      <c r="E253" s="110" t="n">
        <v>1138.65</v>
      </c>
      <c r="F253" s="110" t="n">
        <v>1133.68</v>
      </c>
      <c r="G253" s="110" t="n">
        <v>1139.32</v>
      </c>
      <c r="H253" s="110" t="n">
        <v>1133.5</v>
      </c>
      <c r="I253" s="110" t="n">
        <v>1134.55</v>
      </c>
      <c r="J253" s="110" t="n">
        <v>1365.18</v>
      </c>
      <c r="K253" s="110" t="n">
        <v>1363.18</v>
      </c>
      <c r="L253" s="110" t="n">
        <v>1366.55</v>
      </c>
    </row>
    <row r="254" customFormat="false" ht="15" hidden="false" customHeight="false" outlineLevel="0" collapsed="false">
      <c r="A254" s="28" t="s">
        <v>1219</v>
      </c>
      <c r="B254" s="63" t="s">
        <v>2052</v>
      </c>
      <c r="C254" s="64" t="n">
        <f aca="false">SUM(E254:P254)</f>
        <v>24565</v>
      </c>
      <c r="E254" s="110" t="n">
        <v>2550</v>
      </c>
      <c r="F254" s="110" t="n">
        <v>2550</v>
      </c>
      <c r="G254" s="110" t="n">
        <v>2550</v>
      </c>
      <c r="H254" s="110" t="n">
        <v>2550</v>
      </c>
      <c r="I254" s="110" t="n">
        <v>2550</v>
      </c>
      <c r="J254" s="110" t="n">
        <v>5695</v>
      </c>
      <c r="K254" s="110" t="n">
        <v>3060</v>
      </c>
      <c r="L254" s="110" t="n">
        <v>3060</v>
      </c>
    </row>
    <row r="255" customFormat="false" ht="15" hidden="false" customHeight="false" outlineLevel="0" collapsed="false">
      <c r="A255" s="28" t="s">
        <v>1222</v>
      </c>
      <c r="B255" s="63" t="s">
        <v>2052</v>
      </c>
      <c r="C255" s="64" t="n">
        <f aca="false">SUM(E255:P255)</f>
        <v>423545.78</v>
      </c>
      <c r="E255" s="110" t="n">
        <v>49201.63</v>
      </c>
      <c r="F255" s="110" t="n">
        <v>49295.17</v>
      </c>
      <c r="G255" s="110" t="n">
        <v>51569.06</v>
      </c>
      <c r="H255" s="110" t="n">
        <v>55616.81</v>
      </c>
      <c r="I255" s="110" t="n">
        <v>55400.6</v>
      </c>
      <c r="J255" s="110" t="n">
        <v>55459.61</v>
      </c>
      <c r="K255" s="110" t="n">
        <v>55316.66</v>
      </c>
      <c r="L255" s="110" t="n">
        <v>51686.24</v>
      </c>
    </row>
    <row r="256" customFormat="false" ht="15" hidden="false" customHeight="false" outlineLevel="0" collapsed="false">
      <c r="A256" s="28" t="s">
        <v>2063</v>
      </c>
      <c r="B256" s="63" t="s">
        <v>2052</v>
      </c>
      <c r="C256" s="64" t="n">
        <f aca="false">SUM(E256:P256)</f>
        <v>60523.82</v>
      </c>
      <c r="E256" s="110" t="n">
        <v>7047.62</v>
      </c>
      <c r="F256" s="110" t="n">
        <v>7047.62</v>
      </c>
      <c r="G256" s="110" t="n">
        <v>7380.95</v>
      </c>
      <c r="H256" s="110" t="n">
        <v>7916.67</v>
      </c>
      <c r="I256" s="110" t="n">
        <v>7916.67</v>
      </c>
      <c r="J256" s="110" t="n">
        <v>7916.67</v>
      </c>
      <c r="K256" s="110" t="n">
        <v>7916.67</v>
      </c>
      <c r="L256" s="110" t="n">
        <v>7380.95</v>
      </c>
    </row>
    <row r="257" customFormat="false" ht="15" hidden="false" customHeight="false" outlineLevel="0" collapsed="false">
      <c r="A257" s="28" t="s">
        <v>1225</v>
      </c>
      <c r="B257" s="63" t="s">
        <v>2052</v>
      </c>
      <c r="C257" s="64" t="n">
        <f aca="false">SUM(E257:P257)</f>
        <v>363021.96</v>
      </c>
      <c r="E257" s="110" t="n">
        <v>42154.01</v>
      </c>
      <c r="F257" s="110" t="n">
        <v>42247.55</v>
      </c>
      <c r="G257" s="110" t="n">
        <v>44188.11</v>
      </c>
      <c r="H257" s="110" t="n">
        <v>47700.14</v>
      </c>
      <c r="I257" s="110" t="n">
        <v>47483.93</v>
      </c>
      <c r="J257" s="110" t="n">
        <v>47542.94</v>
      </c>
      <c r="K257" s="110" t="n">
        <v>47399.99</v>
      </c>
      <c r="L257" s="110" t="n">
        <v>44305.29</v>
      </c>
    </row>
    <row r="258" customFormat="false" ht="15" hidden="false" customHeight="false" outlineLevel="0" collapsed="false">
      <c r="A258" s="28" t="s">
        <v>2064</v>
      </c>
      <c r="B258" s="63" t="s">
        <v>2052</v>
      </c>
      <c r="C258" s="64" t="n">
        <f aca="false">SUM(E258:P258)</f>
        <v>45226.2</v>
      </c>
      <c r="E258" s="110" t="n">
        <v>0</v>
      </c>
      <c r="F258" s="110" t="n">
        <v>0</v>
      </c>
      <c r="G258" s="110" t="n">
        <v>0</v>
      </c>
      <c r="H258" s="110" t="n">
        <v>0</v>
      </c>
      <c r="I258" s="110" t="n">
        <v>0</v>
      </c>
      <c r="J258" s="110" t="n">
        <v>45226.2</v>
      </c>
      <c r="K258" s="110" t="n">
        <v>0</v>
      </c>
      <c r="L258" s="110" t="n">
        <v>0</v>
      </c>
    </row>
    <row r="259" customFormat="false" ht="15" hidden="false" customHeight="false" outlineLevel="0" collapsed="false">
      <c r="A259" s="28" t="s">
        <v>1223</v>
      </c>
      <c r="B259" s="63" t="s">
        <v>2052</v>
      </c>
      <c r="C259" s="64" t="n">
        <f aca="false">SUM(E259:P259)</f>
        <v>129810.65</v>
      </c>
      <c r="E259" s="110" t="n">
        <v>15033.26</v>
      </c>
      <c r="F259" s="110" t="n">
        <v>15062</v>
      </c>
      <c r="G259" s="110" t="n">
        <v>15819.39</v>
      </c>
      <c r="H259" s="110" t="n">
        <v>17037.08</v>
      </c>
      <c r="I259" s="110" t="n">
        <v>17049.69</v>
      </c>
      <c r="J259" s="110" t="n">
        <v>17012.78</v>
      </c>
      <c r="K259" s="110" t="n">
        <v>17013.8</v>
      </c>
      <c r="L259" s="110" t="n">
        <v>15782.65</v>
      </c>
    </row>
    <row r="260" customFormat="false" ht="15" hidden="false" customHeight="false" outlineLevel="0" collapsed="false">
      <c r="A260" s="28" t="s">
        <v>1228</v>
      </c>
      <c r="B260" s="63" t="s">
        <v>2052</v>
      </c>
      <c r="C260" s="64" t="n">
        <f aca="false">SUM(E260:P260)</f>
        <v>26290.1</v>
      </c>
      <c r="E260" s="110" t="n">
        <v>3054.02</v>
      </c>
      <c r="F260" s="110" t="n">
        <v>3045.36</v>
      </c>
      <c r="G260" s="110" t="n">
        <v>3198.25</v>
      </c>
      <c r="H260" s="110" t="n">
        <v>3449.44</v>
      </c>
      <c r="I260" s="110" t="n">
        <v>3450.51</v>
      </c>
      <c r="J260" s="110" t="n">
        <v>3447.55</v>
      </c>
      <c r="K260" s="110" t="n">
        <v>3440.22</v>
      </c>
      <c r="L260" s="110" t="n">
        <v>3204.75</v>
      </c>
    </row>
    <row r="261" customFormat="false" ht="15" hidden="false" customHeight="false" outlineLevel="0" collapsed="false">
      <c r="A261" s="28" t="s">
        <v>1229</v>
      </c>
      <c r="B261" s="63" t="s">
        <v>2052</v>
      </c>
      <c r="C261" s="64" t="n">
        <f aca="false">SUM(E261:P261)</f>
        <v>74995</v>
      </c>
      <c r="E261" s="110" t="n">
        <v>7865.71</v>
      </c>
      <c r="F261" s="110" t="n">
        <v>7865.71</v>
      </c>
      <c r="G261" s="110" t="n">
        <v>8105.71</v>
      </c>
      <c r="H261" s="110" t="n">
        <v>8684.29</v>
      </c>
      <c r="I261" s="110" t="n">
        <v>8684.29</v>
      </c>
      <c r="J261" s="110" t="n">
        <v>16999.29</v>
      </c>
      <c r="K261" s="110" t="n">
        <v>8684.29</v>
      </c>
      <c r="L261" s="110" t="n">
        <v>8105.71</v>
      </c>
    </row>
    <row r="262" customFormat="false" ht="15" hidden="false" customHeight="false" outlineLevel="0" collapsed="false">
      <c r="A262" s="28" t="s">
        <v>1232</v>
      </c>
      <c r="B262" s="63" t="s">
        <v>2052</v>
      </c>
      <c r="C262" s="64" t="n">
        <f aca="false">SUM(E262:P262)</f>
        <v>210686.12</v>
      </c>
      <c r="E262" s="110" t="n">
        <v>22977.55</v>
      </c>
      <c r="F262" s="110" t="n">
        <v>26758.62</v>
      </c>
      <c r="G262" s="110" t="n">
        <v>26838.84</v>
      </c>
      <c r="H262" s="110" t="n">
        <v>26785.91</v>
      </c>
      <c r="I262" s="110" t="n">
        <v>26867.67</v>
      </c>
      <c r="J262" s="110" t="n">
        <v>26896.6</v>
      </c>
      <c r="K262" s="110" t="n">
        <v>26763.17</v>
      </c>
      <c r="L262" s="110" t="n">
        <v>26797.76</v>
      </c>
    </row>
    <row r="263" customFormat="false" ht="15" hidden="false" customHeight="false" outlineLevel="0" collapsed="false">
      <c r="A263" s="28" t="s">
        <v>2065</v>
      </c>
      <c r="B263" s="63" t="s">
        <v>2052</v>
      </c>
      <c r="C263" s="64" t="n">
        <f aca="false">SUM(E263:P263)</f>
        <v>30119.02</v>
      </c>
      <c r="E263" s="110" t="n">
        <v>3285.71</v>
      </c>
      <c r="F263" s="110" t="n">
        <v>3833.33</v>
      </c>
      <c r="G263" s="110" t="n">
        <v>3833.33</v>
      </c>
      <c r="H263" s="110" t="n">
        <v>3833.33</v>
      </c>
      <c r="I263" s="110" t="n">
        <v>3833.33</v>
      </c>
      <c r="J263" s="110" t="n">
        <v>3833.33</v>
      </c>
      <c r="K263" s="110" t="n">
        <v>3833.33</v>
      </c>
      <c r="L263" s="110" t="n">
        <v>3833.33</v>
      </c>
    </row>
    <row r="264" customFormat="false" ht="15" hidden="false" customHeight="false" outlineLevel="0" collapsed="false">
      <c r="A264" s="28" t="s">
        <v>1235</v>
      </c>
      <c r="B264" s="63" t="s">
        <v>2052</v>
      </c>
      <c r="C264" s="64" t="n">
        <f aca="false">SUM(E264:P264)</f>
        <v>180567.1</v>
      </c>
      <c r="E264" s="110" t="n">
        <v>19691.84</v>
      </c>
      <c r="F264" s="110" t="n">
        <v>22925.29</v>
      </c>
      <c r="G264" s="110" t="n">
        <v>23005.51</v>
      </c>
      <c r="H264" s="110" t="n">
        <v>22952.58</v>
      </c>
      <c r="I264" s="110" t="n">
        <v>23034.34</v>
      </c>
      <c r="J264" s="110" t="n">
        <v>23063.27</v>
      </c>
      <c r="K264" s="110" t="n">
        <v>22929.84</v>
      </c>
      <c r="L264" s="110" t="n">
        <v>22964.43</v>
      </c>
    </row>
    <row r="265" customFormat="false" ht="15" hidden="false" customHeight="false" outlineLevel="0" collapsed="false">
      <c r="A265" s="28" t="s">
        <v>2066</v>
      </c>
      <c r="B265" s="63" t="s">
        <v>2052</v>
      </c>
      <c r="C265" s="64" t="n">
        <f aca="false">SUM(E265:P265)</f>
        <v>22452.36</v>
      </c>
      <c r="E265" s="110" t="n">
        <v>0</v>
      </c>
      <c r="F265" s="110" t="n">
        <v>0</v>
      </c>
      <c r="G265" s="110" t="n">
        <v>0</v>
      </c>
      <c r="H265" s="110" t="n">
        <v>0</v>
      </c>
      <c r="I265" s="110" t="n">
        <v>0</v>
      </c>
      <c r="J265" s="110" t="n">
        <v>22452.36</v>
      </c>
      <c r="K265" s="110" t="n">
        <v>0</v>
      </c>
      <c r="L265" s="110" t="n">
        <v>0</v>
      </c>
    </row>
    <row r="266" customFormat="false" ht="15" hidden="false" customHeight="false" outlineLevel="0" collapsed="false">
      <c r="A266" s="28" t="s">
        <v>1233</v>
      </c>
      <c r="B266" s="63" t="s">
        <v>2052</v>
      </c>
      <c r="C266" s="64" t="n">
        <f aca="false">SUM(E266:P266)</f>
        <v>67843.05</v>
      </c>
      <c r="E266" s="110" t="n">
        <v>7415.46</v>
      </c>
      <c r="F266" s="110" t="n">
        <v>8628.51</v>
      </c>
      <c r="G266" s="110" t="n">
        <v>8630.2</v>
      </c>
      <c r="H266" s="110" t="n">
        <v>8642.76</v>
      </c>
      <c r="I266" s="110" t="n">
        <v>8616.24</v>
      </c>
      <c r="J266" s="110" t="n">
        <v>8623.22</v>
      </c>
      <c r="K266" s="110" t="n">
        <v>8647.08</v>
      </c>
      <c r="L266" s="110" t="n">
        <v>8639.58</v>
      </c>
    </row>
    <row r="267" customFormat="false" ht="15" hidden="false" customHeight="false" outlineLevel="0" collapsed="false">
      <c r="A267" s="28" t="s">
        <v>1238</v>
      </c>
      <c r="B267" s="63" t="s">
        <v>2052</v>
      </c>
      <c r="C267" s="64" t="n">
        <f aca="false">SUM(E267:P267)</f>
        <v>13701.24</v>
      </c>
      <c r="E267" s="110" t="n">
        <v>1497.46</v>
      </c>
      <c r="F267" s="110" t="n">
        <v>1743.99</v>
      </c>
      <c r="G267" s="110" t="n">
        <v>1739.62</v>
      </c>
      <c r="H267" s="110" t="n">
        <v>1746.84</v>
      </c>
      <c r="I267" s="110" t="n">
        <v>1745.21</v>
      </c>
      <c r="J267" s="110" t="n">
        <v>1735.84</v>
      </c>
      <c r="K267" s="110" t="n">
        <v>1744.94</v>
      </c>
      <c r="L267" s="110" t="n">
        <v>1747.34</v>
      </c>
    </row>
    <row r="268" customFormat="false" ht="15" hidden="false" customHeight="false" outlineLevel="0" collapsed="false">
      <c r="A268" s="28" t="s">
        <v>1239</v>
      </c>
      <c r="B268" s="63" t="s">
        <v>2052</v>
      </c>
      <c r="C268" s="64" t="n">
        <f aca="false">SUM(E268:P268)</f>
        <v>36570</v>
      </c>
      <c r="E268" s="110" t="n">
        <v>3548.57</v>
      </c>
      <c r="F268" s="110" t="n">
        <v>4140</v>
      </c>
      <c r="G268" s="110" t="n">
        <v>4140</v>
      </c>
      <c r="H268" s="110" t="n">
        <v>4140</v>
      </c>
      <c r="I268" s="110" t="n">
        <v>4140</v>
      </c>
      <c r="J268" s="110" t="n">
        <v>8181.43</v>
      </c>
      <c r="K268" s="110" t="n">
        <v>4140</v>
      </c>
      <c r="L268" s="110" t="n">
        <v>4140</v>
      </c>
    </row>
    <row r="269" customFormat="false" ht="15" hidden="false" customHeight="false" outlineLevel="0" collapsed="false">
      <c r="A269" s="28" t="s">
        <v>1242</v>
      </c>
      <c r="B269" s="63" t="s">
        <v>2052</v>
      </c>
      <c r="C269" s="64" t="n">
        <f aca="false">SUM(E269:P269)</f>
        <v>263258.37</v>
      </c>
      <c r="E269" s="110" t="n">
        <v>32968.42</v>
      </c>
      <c r="F269" s="110" t="n">
        <v>32977.7</v>
      </c>
      <c r="G269" s="110" t="n">
        <v>32991.46</v>
      </c>
      <c r="H269" s="110" t="n">
        <v>32865.04</v>
      </c>
      <c r="I269" s="110" t="n">
        <v>32797.55</v>
      </c>
      <c r="J269" s="110" t="n">
        <v>32870.36</v>
      </c>
      <c r="K269" s="110" t="n">
        <v>32840.26</v>
      </c>
      <c r="L269" s="110" t="n">
        <v>32947.58</v>
      </c>
    </row>
    <row r="270" customFormat="false" ht="15" hidden="false" customHeight="false" outlineLevel="0" collapsed="false">
      <c r="A270" s="28" t="s">
        <v>2067</v>
      </c>
      <c r="B270" s="63" t="s">
        <v>2052</v>
      </c>
      <c r="C270" s="64" t="n">
        <f aca="false">SUM(E270:P270)</f>
        <v>37619.04</v>
      </c>
      <c r="E270" s="110" t="n">
        <v>4702.38</v>
      </c>
      <c r="F270" s="110" t="n">
        <v>4702.38</v>
      </c>
      <c r="G270" s="110" t="n">
        <v>4702.38</v>
      </c>
      <c r="H270" s="110" t="n">
        <v>4702.38</v>
      </c>
      <c r="I270" s="110" t="n">
        <v>4702.38</v>
      </c>
      <c r="J270" s="110" t="n">
        <v>4702.38</v>
      </c>
      <c r="K270" s="110" t="n">
        <v>4702.38</v>
      </c>
      <c r="L270" s="110" t="n">
        <v>4702.38</v>
      </c>
    </row>
    <row r="271" customFormat="false" ht="15" hidden="false" customHeight="false" outlineLevel="0" collapsed="false">
      <c r="A271" s="28" t="s">
        <v>1245</v>
      </c>
      <c r="B271" s="63" t="s">
        <v>2052</v>
      </c>
      <c r="C271" s="64" t="n">
        <f aca="false">SUM(E271:P271)</f>
        <v>225639.33</v>
      </c>
      <c r="E271" s="110" t="n">
        <v>28266.04</v>
      </c>
      <c r="F271" s="110" t="n">
        <v>28275.32</v>
      </c>
      <c r="G271" s="110" t="n">
        <v>28289.08</v>
      </c>
      <c r="H271" s="110" t="n">
        <v>28162.66</v>
      </c>
      <c r="I271" s="110" t="n">
        <v>28095.17</v>
      </c>
      <c r="J271" s="110" t="n">
        <v>28167.98</v>
      </c>
      <c r="K271" s="110" t="n">
        <v>28137.88</v>
      </c>
      <c r="L271" s="110" t="n">
        <v>28245.2</v>
      </c>
    </row>
    <row r="272" customFormat="false" ht="15" hidden="false" customHeight="false" outlineLevel="0" collapsed="false">
      <c r="A272" s="28" t="s">
        <v>2068</v>
      </c>
      <c r="B272" s="63" t="s">
        <v>2052</v>
      </c>
      <c r="C272" s="64" t="n">
        <f aca="false">SUM(E272:P272)</f>
        <v>28214.28</v>
      </c>
      <c r="E272" s="110" t="n">
        <v>0</v>
      </c>
      <c r="F272" s="110" t="n">
        <v>0</v>
      </c>
      <c r="G272" s="110" t="n">
        <v>0</v>
      </c>
      <c r="H272" s="110" t="n">
        <v>0</v>
      </c>
      <c r="I272" s="110" t="n">
        <v>0</v>
      </c>
      <c r="J272" s="110" t="n">
        <v>28214.28</v>
      </c>
      <c r="K272" s="110" t="n">
        <v>0</v>
      </c>
      <c r="L272" s="110" t="n">
        <v>0</v>
      </c>
    </row>
    <row r="273" customFormat="false" ht="15" hidden="false" customHeight="false" outlineLevel="0" collapsed="false">
      <c r="A273" s="28" t="s">
        <v>1243</v>
      </c>
      <c r="B273" s="63" t="s">
        <v>2052</v>
      </c>
      <c r="C273" s="64" t="n">
        <f aca="false">SUM(E273:P273)</f>
        <v>66570.14</v>
      </c>
      <c r="E273" s="110" t="n">
        <v>8311.41</v>
      </c>
      <c r="F273" s="110" t="n">
        <v>8341.97</v>
      </c>
      <c r="G273" s="110" t="n">
        <v>8297.45</v>
      </c>
      <c r="H273" s="110" t="n">
        <v>8331.36</v>
      </c>
      <c r="I273" s="110" t="n">
        <v>8332</v>
      </c>
      <c r="J273" s="110" t="n">
        <v>8304.2</v>
      </c>
      <c r="K273" s="110" t="n">
        <v>8314.46</v>
      </c>
      <c r="L273" s="110" t="n">
        <v>8337.29</v>
      </c>
    </row>
    <row r="274" customFormat="false" ht="15" hidden="false" customHeight="false" outlineLevel="0" collapsed="false">
      <c r="A274" s="28" t="s">
        <v>1248</v>
      </c>
      <c r="B274" s="63" t="s">
        <v>2052</v>
      </c>
      <c r="C274" s="64" t="n">
        <f aca="false">SUM(E274:P274)</f>
        <v>13440.79</v>
      </c>
      <c r="E274" s="110" t="n">
        <v>1680.26</v>
      </c>
      <c r="F274" s="110" t="n">
        <v>1682.44</v>
      </c>
      <c r="G274" s="110" t="n">
        <v>1676.42</v>
      </c>
      <c r="H274" s="110" t="n">
        <v>1677.23</v>
      </c>
      <c r="I274" s="110" t="n">
        <v>1679.91</v>
      </c>
      <c r="J274" s="110" t="n">
        <v>1676.63</v>
      </c>
      <c r="K274" s="110" t="n">
        <v>1683.72</v>
      </c>
      <c r="L274" s="110" t="n">
        <v>1684.18</v>
      </c>
    </row>
    <row r="275" customFormat="false" ht="15" hidden="false" customHeight="false" outlineLevel="0" collapsed="false">
      <c r="A275" s="28" t="s">
        <v>1249</v>
      </c>
      <c r="B275" s="63" t="s">
        <v>2052</v>
      </c>
      <c r="C275" s="64" t="n">
        <f aca="false">SUM(E275:P275)</f>
        <v>62389.27</v>
      </c>
      <c r="E275" s="110" t="n">
        <v>6932.14</v>
      </c>
      <c r="F275" s="110" t="n">
        <v>6932.14</v>
      </c>
      <c r="G275" s="110" t="n">
        <v>6932.14</v>
      </c>
      <c r="H275" s="110" t="n">
        <v>6932.14</v>
      </c>
      <c r="I275" s="110" t="n">
        <v>6932.14</v>
      </c>
      <c r="J275" s="110" t="n">
        <v>13864.29</v>
      </c>
      <c r="K275" s="110" t="n">
        <v>6932.14</v>
      </c>
      <c r="L275" s="110" t="n">
        <v>6932.14</v>
      </c>
    </row>
    <row r="276" customFormat="false" ht="15" hidden="false" customHeight="false" outlineLevel="0" collapsed="false">
      <c r="A276" s="22" t="s">
        <v>2069</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row>
    <row r="277" customFormat="false" ht="15" hidden="false" customHeight="false" outlineLevel="0" collapsed="false">
      <c r="A277" s="28" t="s">
        <v>2070</v>
      </c>
      <c r="B277" s="63" t="s">
        <v>2052</v>
      </c>
      <c r="C277" s="143" t="n">
        <f aca="false">P277</f>
        <v>0</v>
      </c>
      <c r="E277" s="139" t="n">
        <v>3</v>
      </c>
      <c r="F277" s="139" t="n">
        <v>3</v>
      </c>
      <c r="G277" s="139" t="n">
        <v>3</v>
      </c>
      <c r="H277" s="139" t="n">
        <v>3</v>
      </c>
      <c r="I277" s="139" t="n">
        <v>3</v>
      </c>
      <c r="J277" s="139" t="n">
        <v>3</v>
      </c>
      <c r="K277" s="139" t="n">
        <v>3</v>
      </c>
      <c r="L277" s="139" t="n">
        <v>3</v>
      </c>
    </row>
    <row r="278" customFormat="false" ht="15" hidden="false" customHeight="false" outlineLevel="0" collapsed="false">
      <c r="A278" s="28" t="s">
        <v>2071</v>
      </c>
      <c r="B278" s="63" t="s">
        <v>2052</v>
      </c>
      <c r="C278" s="143" t="n">
        <f aca="false">P278</f>
        <v>0</v>
      </c>
      <c r="E278" s="139" t="n">
        <v>9</v>
      </c>
      <c r="F278" s="139" t="n">
        <v>9</v>
      </c>
      <c r="G278" s="139" t="n">
        <v>10</v>
      </c>
      <c r="H278" s="139" t="n">
        <v>10</v>
      </c>
      <c r="I278" s="139" t="n">
        <v>10</v>
      </c>
      <c r="J278" s="139" t="n">
        <v>10</v>
      </c>
      <c r="K278" s="139" t="n">
        <v>10</v>
      </c>
      <c r="L278" s="139" t="n">
        <v>10</v>
      </c>
    </row>
    <row r="279" customFormat="false" ht="15" hidden="false" customHeight="false" outlineLevel="0" collapsed="false">
      <c r="A279" s="28" t="s">
        <v>2072</v>
      </c>
      <c r="B279" s="63" t="s">
        <v>2052</v>
      </c>
      <c r="C279" s="143" t="n">
        <f aca="false">P279</f>
        <v>0</v>
      </c>
      <c r="E279" s="139" t="n">
        <v>12</v>
      </c>
      <c r="F279" s="139" t="n">
        <v>13</v>
      </c>
      <c r="G279" s="139" t="n">
        <v>13</v>
      </c>
      <c r="H279" s="139" t="n">
        <v>13</v>
      </c>
      <c r="I279" s="139" t="n">
        <v>14</v>
      </c>
      <c r="J279" s="139" t="n">
        <v>14</v>
      </c>
      <c r="K279" s="139" t="n">
        <v>13</v>
      </c>
      <c r="L279" s="139" t="n">
        <v>13</v>
      </c>
    </row>
    <row r="280" customFormat="false" ht="15" hidden="false" customHeight="false" outlineLevel="0" collapsed="false">
      <c r="A280" s="28" t="s">
        <v>2073</v>
      </c>
      <c r="B280" s="63" t="s">
        <v>2052</v>
      </c>
      <c r="C280" s="143" t="n">
        <f aca="false">P280</f>
        <v>0</v>
      </c>
      <c r="E280" s="139" t="n">
        <v>5</v>
      </c>
      <c r="F280" s="139" t="n">
        <v>5</v>
      </c>
      <c r="G280" s="139" t="n">
        <v>5</v>
      </c>
      <c r="H280" s="139" t="n">
        <v>5</v>
      </c>
      <c r="I280" s="139" t="n">
        <v>5</v>
      </c>
      <c r="J280" s="139" t="n">
        <v>5</v>
      </c>
      <c r="K280" s="139" t="n">
        <v>6</v>
      </c>
      <c r="L280" s="139" t="n">
        <v>6</v>
      </c>
    </row>
    <row r="281" customFormat="false" ht="15" hidden="false" customHeight="false" outlineLevel="0" collapsed="false">
      <c r="A281" s="28" t="s">
        <v>2074</v>
      </c>
      <c r="B281" s="63" t="s">
        <v>2052</v>
      </c>
      <c r="C281" s="143" t="n">
        <f aca="false">P281</f>
        <v>0</v>
      </c>
      <c r="E281" s="139" t="n">
        <v>4</v>
      </c>
      <c r="F281" s="139" t="n">
        <v>4</v>
      </c>
      <c r="G281" s="139" t="n">
        <v>4</v>
      </c>
      <c r="H281" s="139" t="n">
        <v>4</v>
      </c>
      <c r="I281" s="139" t="n">
        <v>4</v>
      </c>
      <c r="J281" s="139" t="n">
        <v>4</v>
      </c>
      <c r="K281" s="139" t="n">
        <v>4</v>
      </c>
      <c r="L281" s="139" t="n">
        <v>4</v>
      </c>
    </row>
    <row r="282" customFormat="false" ht="15" hidden="false" customHeight="false" outlineLevel="0" collapsed="false">
      <c r="A282" s="28" t="s">
        <v>2075</v>
      </c>
      <c r="B282" s="63" t="s">
        <v>2052</v>
      </c>
      <c r="C282" s="143" t="n">
        <f aca="false">P282</f>
        <v>0</v>
      </c>
      <c r="E282" s="139" t="n">
        <v>3</v>
      </c>
      <c r="F282" s="139" t="n">
        <v>3</v>
      </c>
      <c r="G282" s="139" t="n">
        <v>3</v>
      </c>
      <c r="H282" s="139" t="n">
        <v>3</v>
      </c>
      <c r="I282" s="139" t="n">
        <v>3</v>
      </c>
      <c r="J282" s="139" t="n">
        <v>3</v>
      </c>
      <c r="K282" s="139" t="n">
        <v>3</v>
      </c>
      <c r="L282" s="139" t="n">
        <v>3</v>
      </c>
    </row>
    <row r="283" customFormat="false" ht="15" hidden="false" customHeight="false" outlineLevel="0" collapsed="false">
      <c r="A283" s="28" t="s">
        <v>2076</v>
      </c>
      <c r="B283" s="63" t="s">
        <v>2052</v>
      </c>
      <c r="C283" s="143" t="n">
        <f aca="false">P283</f>
        <v>0</v>
      </c>
      <c r="E283" s="139" t="n">
        <v>8</v>
      </c>
      <c r="F283" s="139" t="n">
        <v>8</v>
      </c>
      <c r="G283" s="139" t="n">
        <v>8</v>
      </c>
      <c r="H283" s="139" t="n">
        <v>8</v>
      </c>
      <c r="I283" s="139" t="n">
        <v>9</v>
      </c>
      <c r="J283" s="139" t="n">
        <v>9</v>
      </c>
      <c r="K283" s="139" t="n">
        <v>9</v>
      </c>
      <c r="L283" s="139" t="n">
        <v>8</v>
      </c>
    </row>
    <row r="284" customFormat="false" ht="15" hidden="false" customHeight="false" outlineLevel="0" collapsed="false">
      <c r="A284" s="28" t="s">
        <v>2077</v>
      </c>
      <c r="B284" s="63" t="s">
        <v>2052</v>
      </c>
      <c r="C284" s="143" t="n">
        <f aca="false">P284</f>
        <v>0</v>
      </c>
      <c r="E284" s="139" t="n">
        <v>5</v>
      </c>
      <c r="F284" s="139" t="n">
        <v>5</v>
      </c>
      <c r="G284" s="139" t="n">
        <v>5</v>
      </c>
      <c r="H284" s="139" t="n">
        <v>6</v>
      </c>
      <c r="I284" s="139" t="n">
        <v>6</v>
      </c>
      <c r="J284" s="139" t="n">
        <v>6</v>
      </c>
      <c r="K284" s="139" t="n">
        <v>6</v>
      </c>
      <c r="L284" s="139" t="n">
        <v>6</v>
      </c>
    </row>
    <row r="285" customFormat="false" ht="15" hidden="false" customHeight="false" outlineLevel="0" collapsed="false">
      <c r="A285" s="28" t="s">
        <v>2078</v>
      </c>
      <c r="B285" s="63" t="s">
        <v>2052</v>
      </c>
      <c r="C285" s="143" t="n">
        <f aca="false">P285</f>
        <v>0</v>
      </c>
      <c r="E285" s="139" t="n">
        <v>5</v>
      </c>
      <c r="F285" s="139" t="n">
        <v>5</v>
      </c>
      <c r="G285" s="139" t="n">
        <v>5</v>
      </c>
      <c r="H285" s="139" t="n">
        <v>5</v>
      </c>
      <c r="I285" s="139" t="n">
        <v>5</v>
      </c>
      <c r="J285" s="139" t="n">
        <v>6</v>
      </c>
      <c r="K285" s="139" t="n">
        <v>6</v>
      </c>
      <c r="L285" s="139" t="n">
        <v>6</v>
      </c>
    </row>
    <row r="286" customFormat="false" ht="15" hidden="false" customHeight="false" outlineLevel="0" collapsed="false">
      <c r="A286" s="28" t="s">
        <v>2079</v>
      </c>
      <c r="B286" s="63" t="s">
        <v>2052</v>
      </c>
      <c r="C286" s="143" t="n">
        <f aca="false">P286</f>
        <v>0</v>
      </c>
      <c r="E286" s="139" t="n">
        <v>1</v>
      </c>
      <c r="F286" s="139" t="n">
        <v>1</v>
      </c>
      <c r="G286" s="139" t="n">
        <v>1</v>
      </c>
      <c r="H286" s="139" t="n">
        <v>1</v>
      </c>
      <c r="I286" s="139" t="n">
        <v>1</v>
      </c>
      <c r="J286" s="139" t="n">
        <v>1</v>
      </c>
      <c r="K286" s="139" t="n">
        <v>1</v>
      </c>
      <c r="L286" s="139" t="n">
        <v>1</v>
      </c>
    </row>
    <row r="287" customFormat="false" ht="15" hidden="false" customHeight="false" outlineLevel="0" collapsed="false">
      <c r="A287" s="28" t="s">
        <v>2080</v>
      </c>
      <c r="B287" s="63" t="s">
        <v>2052</v>
      </c>
      <c r="C287" s="143" t="n">
        <f aca="false">P287</f>
        <v>0</v>
      </c>
      <c r="E287" s="139" t="n">
        <v>8</v>
      </c>
      <c r="F287" s="139" t="n">
        <v>8</v>
      </c>
      <c r="G287" s="139" t="n">
        <v>8</v>
      </c>
      <c r="H287" s="139" t="n">
        <v>9</v>
      </c>
      <c r="I287" s="139" t="n">
        <v>9</v>
      </c>
      <c r="J287" s="139" t="n">
        <v>9</v>
      </c>
      <c r="K287" s="139" t="n">
        <v>9</v>
      </c>
      <c r="L287" s="139" t="n">
        <v>8</v>
      </c>
    </row>
    <row r="288" customFormat="false" ht="15" hidden="false" customHeight="false" outlineLevel="0" collapsed="false">
      <c r="A288" s="28" t="s">
        <v>2081</v>
      </c>
      <c r="B288" s="63" t="s">
        <v>2052</v>
      </c>
      <c r="C288" s="143" t="n">
        <f aca="false">P288</f>
        <v>0</v>
      </c>
      <c r="E288" s="139" t="n">
        <v>5</v>
      </c>
      <c r="F288" s="139" t="n">
        <v>5</v>
      </c>
      <c r="G288" s="139" t="n">
        <v>6</v>
      </c>
      <c r="H288" s="139" t="n">
        <v>6</v>
      </c>
      <c r="I288" s="139" t="n">
        <v>6</v>
      </c>
      <c r="J288" s="139" t="n">
        <v>6</v>
      </c>
      <c r="K288" s="139" t="n">
        <v>6</v>
      </c>
      <c r="L288" s="139" t="n">
        <v>6</v>
      </c>
    </row>
    <row r="289" customFormat="false" ht="15" hidden="false" customHeight="false" outlineLevel="0" collapsed="false">
      <c r="A289" s="28" t="s">
        <v>2082</v>
      </c>
      <c r="B289" s="63" t="s">
        <v>2052</v>
      </c>
      <c r="C289" s="143" t="n">
        <f aca="false">P289</f>
        <v>0</v>
      </c>
      <c r="E289" s="139" t="n">
        <v>6</v>
      </c>
      <c r="F289" s="139" t="n">
        <v>7</v>
      </c>
      <c r="G289" s="139" t="n">
        <v>7</v>
      </c>
      <c r="H289" s="139" t="n">
        <v>7</v>
      </c>
      <c r="I289" s="139" t="n">
        <v>7</v>
      </c>
      <c r="J289" s="139" t="n">
        <v>7</v>
      </c>
      <c r="K289" s="139" t="n">
        <v>7</v>
      </c>
      <c r="L289" s="139" t="n">
        <v>7</v>
      </c>
    </row>
    <row r="290" customFormat="false" ht="15" hidden="false" customHeight="false" outlineLevel="0" collapsed="false">
      <c r="A290" s="28" t="s">
        <v>2083</v>
      </c>
      <c r="B290" s="63" t="s">
        <v>2052</v>
      </c>
      <c r="C290" s="143" t="n">
        <f aca="false">P290</f>
        <v>0</v>
      </c>
      <c r="E290" s="139" t="n">
        <v>2</v>
      </c>
      <c r="F290" s="139" t="n">
        <v>2</v>
      </c>
      <c r="G290" s="139" t="n">
        <v>2</v>
      </c>
      <c r="H290" s="139" t="n">
        <v>2</v>
      </c>
      <c r="I290" s="139" t="n">
        <v>2</v>
      </c>
      <c r="J290" s="139" t="n">
        <v>2</v>
      </c>
      <c r="K290" s="139" t="n">
        <v>2</v>
      </c>
      <c r="L290" s="139" t="n">
        <v>2</v>
      </c>
    </row>
    <row r="291" customFormat="false" ht="15" hidden="false" customHeight="false" outlineLevel="0" collapsed="false">
      <c r="A291" s="28" t="s">
        <v>2084</v>
      </c>
      <c r="B291" s="63" t="s">
        <v>2052</v>
      </c>
      <c r="C291" s="143" t="n">
        <f aca="false">P291</f>
        <v>0</v>
      </c>
      <c r="E291" s="139" t="n">
        <v>5</v>
      </c>
      <c r="F291" s="139" t="n">
        <v>5</v>
      </c>
      <c r="G291" s="139" t="n">
        <v>5</v>
      </c>
      <c r="H291" s="139" t="n">
        <v>5</v>
      </c>
      <c r="I291" s="139" t="n">
        <v>5</v>
      </c>
      <c r="J291" s="139" t="n">
        <v>5</v>
      </c>
      <c r="K291" s="139" t="n">
        <v>5</v>
      </c>
      <c r="L291" s="139" t="n">
        <v>5</v>
      </c>
    </row>
    <row r="292" customFormat="false" ht="15" hidden="false" customHeight="false" outlineLevel="0" collapsed="false">
      <c r="A292" s="22" t="s">
        <v>2085</v>
      </c>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customFormat="false" ht="15" hidden="false" customHeight="false" outlineLevel="0" collapsed="false">
      <c r="A293" s="28" t="s">
        <v>2086</v>
      </c>
      <c r="B293" s="63" t="s">
        <v>2087</v>
      </c>
      <c r="C293" s="64" t="n">
        <f aca="false">SUM(E293:P293)</f>
        <v>79104.47</v>
      </c>
      <c r="E293" s="110" t="n">
        <v>12097.57</v>
      </c>
      <c r="F293" s="110" t="n">
        <v>5623.91</v>
      </c>
      <c r="G293" s="110" t="n">
        <v>10150.16</v>
      </c>
      <c r="H293" s="110" t="n">
        <v>20230.02</v>
      </c>
      <c r="I293" s="110" t="n">
        <v>5145.37</v>
      </c>
      <c r="J293" s="110" t="n">
        <v>6386.09</v>
      </c>
      <c r="K293" s="110" t="n">
        <v>13006.18</v>
      </c>
      <c r="L293" s="110" t="n">
        <v>6465.17</v>
      </c>
    </row>
    <row r="294" customFormat="false" ht="15" hidden="false" customHeight="false" outlineLevel="0" collapsed="false">
      <c r="A294" s="28" t="s">
        <v>2088</v>
      </c>
      <c r="B294" s="63" t="s">
        <v>2050</v>
      </c>
      <c r="C294" s="64" t="n">
        <f aca="false">SUM(E294:P294)</f>
        <v>438402.56</v>
      </c>
      <c r="E294" s="110" t="n">
        <v>51201.84</v>
      </c>
      <c r="F294" s="110" t="n">
        <v>52861.28</v>
      </c>
      <c r="G294" s="110" t="n">
        <v>54702.12</v>
      </c>
      <c r="H294" s="110" t="n">
        <v>55111.3</v>
      </c>
      <c r="I294" s="110" t="n">
        <v>56274.22</v>
      </c>
      <c r="J294" s="110" t="n">
        <v>56334.75</v>
      </c>
      <c r="K294" s="110" t="n">
        <v>55867.45</v>
      </c>
      <c r="L294" s="110" t="n">
        <v>56049.6</v>
      </c>
    </row>
    <row r="295" customFormat="false" ht="15" hidden="false" customHeight="false" outlineLevel="0" collapsed="false">
      <c r="A295" s="28" t="s">
        <v>1434</v>
      </c>
      <c r="B295" s="63" t="s">
        <v>2050</v>
      </c>
      <c r="C295" s="64" t="n">
        <f aca="false">SUM(E295:P295)</f>
        <v>215476.95</v>
      </c>
      <c r="E295" s="110" t="n">
        <v>26351.2</v>
      </c>
      <c r="F295" s="110" t="n">
        <v>26794.29</v>
      </c>
      <c r="G295" s="110" t="n">
        <v>25378.6</v>
      </c>
      <c r="H295" s="110" t="n">
        <v>26564.07</v>
      </c>
      <c r="I295" s="110" t="n">
        <v>27185.07</v>
      </c>
      <c r="J295" s="110" t="n">
        <v>27866.41</v>
      </c>
      <c r="K295" s="110" t="n">
        <v>26930.58</v>
      </c>
      <c r="L295" s="110" t="n">
        <v>28406.73</v>
      </c>
    </row>
    <row r="296" customFormat="false" ht="15" hidden="false" customHeight="false" outlineLevel="0" collapsed="false">
      <c r="A296" s="28" t="s">
        <v>380</v>
      </c>
      <c r="B296" s="63" t="s">
        <v>2050</v>
      </c>
      <c r="C296" s="64" t="n">
        <f aca="false">SUM(E296:P296)</f>
        <v>63925.03</v>
      </c>
      <c r="E296" s="110" t="n">
        <v>7447.06</v>
      </c>
      <c r="F296" s="110" t="n">
        <v>7792.37</v>
      </c>
      <c r="G296" s="110" t="n">
        <v>7831.25</v>
      </c>
      <c r="H296" s="110" t="n">
        <v>8070.86</v>
      </c>
      <c r="I296" s="110" t="n">
        <v>7522.82</v>
      </c>
      <c r="J296" s="110" t="n">
        <v>8424.19</v>
      </c>
      <c r="K296" s="110" t="n">
        <v>8155.52</v>
      </c>
      <c r="L296" s="110" t="n">
        <v>8680.96</v>
      </c>
    </row>
    <row r="297" customFormat="false" ht="15" hidden="false" customHeight="false" outlineLevel="0" collapsed="false">
      <c r="A297" s="28" t="s">
        <v>1436</v>
      </c>
      <c r="B297" s="63" t="s">
        <v>2050</v>
      </c>
      <c r="C297" s="64" t="n">
        <f aca="false">SUM(E297:P297)</f>
        <v>156078.45</v>
      </c>
      <c r="E297" s="110" t="n">
        <v>18634.79</v>
      </c>
      <c r="F297" s="110" t="n">
        <v>18928.59</v>
      </c>
      <c r="G297" s="110" t="n">
        <v>19188.02</v>
      </c>
      <c r="H297" s="110" t="n">
        <v>19655.46</v>
      </c>
      <c r="I297" s="110" t="n">
        <v>19995.8</v>
      </c>
      <c r="J297" s="110" t="n">
        <v>19537.27</v>
      </c>
      <c r="K297" s="110" t="n">
        <v>20148.3</v>
      </c>
      <c r="L297" s="110" t="n">
        <v>19990.22</v>
      </c>
    </row>
    <row r="298" customFormat="false" ht="15" hidden="false" customHeight="false" outlineLevel="0" collapsed="false">
      <c r="A298" s="28" t="s">
        <v>391</v>
      </c>
      <c r="B298" s="63" t="s">
        <v>2050</v>
      </c>
      <c r="C298" s="64" t="n">
        <f aca="false">SUM(E298:P298)</f>
        <v>545819.06</v>
      </c>
      <c r="E298" s="110" t="n">
        <v>72950.18</v>
      </c>
      <c r="F298" s="110" t="n">
        <v>76997.11</v>
      </c>
      <c r="G298" s="110" t="n">
        <v>70333.46</v>
      </c>
      <c r="H298" s="110" t="n">
        <v>69662.37</v>
      </c>
      <c r="I298" s="110" t="n">
        <v>63812.87</v>
      </c>
      <c r="J298" s="110" t="n">
        <v>70430.36</v>
      </c>
      <c r="K298" s="110" t="n">
        <v>68209.14</v>
      </c>
      <c r="L298" s="110" t="n">
        <v>53423.57</v>
      </c>
    </row>
    <row r="299" customFormat="false" ht="15" hidden="false" customHeight="false" outlineLevel="0" collapsed="false">
      <c r="A299" s="28" t="s">
        <v>392</v>
      </c>
      <c r="B299" s="63" t="s">
        <v>2050</v>
      </c>
      <c r="C299" s="64" t="n">
        <f aca="false">SUM(E299:P299)</f>
        <v>208533.44</v>
      </c>
      <c r="E299" s="110" t="n">
        <v>23665.57</v>
      </c>
      <c r="F299" s="110" t="n">
        <v>23124.71</v>
      </c>
      <c r="G299" s="110" t="n">
        <v>26164.59</v>
      </c>
      <c r="H299" s="110" t="n">
        <v>19766.87</v>
      </c>
      <c r="I299" s="110" t="n">
        <v>45328.38</v>
      </c>
      <c r="J299" s="110" t="n">
        <v>25245.92</v>
      </c>
      <c r="K299" s="110" t="n">
        <v>23857.97</v>
      </c>
      <c r="L299" s="110" t="n">
        <v>21379.43</v>
      </c>
    </row>
    <row r="300" customFormat="false" ht="15" hidden="false" customHeight="false" outlineLevel="0" collapsed="false">
      <c r="A300" s="28" t="s">
        <v>396</v>
      </c>
      <c r="B300" s="63" t="s">
        <v>2050</v>
      </c>
      <c r="C300" s="64" t="n">
        <f aca="false">SUM(E300:P300)</f>
        <v>124000</v>
      </c>
      <c r="E300" s="110" t="n">
        <v>15500</v>
      </c>
      <c r="F300" s="110" t="n">
        <v>15500</v>
      </c>
      <c r="G300" s="110" t="n">
        <v>15500</v>
      </c>
      <c r="H300" s="110" t="n">
        <v>15500</v>
      </c>
      <c r="I300" s="110" t="n">
        <v>15500</v>
      </c>
      <c r="J300" s="110" t="n">
        <v>15500</v>
      </c>
      <c r="K300" s="110" t="n">
        <v>15500</v>
      </c>
      <c r="L300" s="110" t="n">
        <v>15500</v>
      </c>
    </row>
    <row r="301" customFormat="false" ht="15" hidden="false" customHeight="false" outlineLevel="0" collapsed="false">
      <c r="A301" s="28" t="s">
        <v>397</v>
      </c>
      <c r="B301" s="63" t="s">
        <v>2050</v>
      </c>
      <c r="C301" s="64" t="n">
        <f aca="false">SUM(E301:P301)</f>
        <v>109697.6</v>
      </c>
      <c r="E301" s="110" t="n">
        <v>10714.65</v>
      </c>
      <c r="F301" s="110" t="n">
        <v>11942.07</v>
      </c>
      <c r="G301" s="110" t="n">
        <v>29424.51</v>
      </c>
      <c r="H301" s="110" t="n">
        <v>11509.22</v>
      </c>
      <c r="I301" s="110" t="n">
        <v>11345.99</v>
      </c>
      <c r="J301" s="110" t="n">
        <v>11744.15</v>
      </c>
      <c r="K301" s="110" t="n">
        <v>11246.69</v>
      </c>
      <c r="L301" s="110" t="n">
        <v>11770.32</v>
      </c>
    </row>
    <row r="302" customFormat="false" ht="15" hidden="false" customHeight="false" outlineLevel="0" collapsed="false">
      <c r="A302" s="28" t="s">
        <v>398</v>
      </c>
      <c r="B302" s="63" t="s">
        <v>2050</v>
      </c>
      <c r="C302" s="64" t="n">
        <f aca="false">SUM(E302:P302)</f>
        <v>25600</v>
      </c>
      <c r="E302" s="110" t="n">
        <v>3200</v>
      </c>
      <c r="F302" s="110" t="n">
        <v>3200</v>
      </c>
      <c r="G302" s="110" t="n">
        <v>3200</v>
      </c>
      <c r="H302" s="110" t="n">
        <v>3200</v>
      </c>
      <c r="I302" s="110" t="n">
        <v>3200</v>
      </c>
      <c r="J302" s="110" t="n">
        <v>3200</v>
      </c>
      <c r="K302" s="110" t="n">
        <v>3200</v>
      </c>
      <c r="L302" s="110" t="n">
        <v>3200</v>
      </c>
    </row>
    <row r="303" customFormat="false" ht="15" hidden="false" customHeight="false" outlineLevel="0" collapsed="false">
      <c r="A303" s="28" t="s">
        <v>399</v>
      </c>
      <c r="B303" s="63" t="s">
        <v>2050</v>
      </c>
      <c r="C303" s="64" t="n">
        <f aca="false">SUM(E303:P303)</f>
        <v>57098.85</v>
      </c>
      <c r="E303" s="110" t="n">
        <v>5110.09</v>
      </c>
      <c r="F303" s="110" t="n">
        <v>10213.4</v>
      </c>
      <c r="G303" s="110" t="n">
        <v>9138.27</v>
      </c>
      <c r="H303" s="110" t="n">
        <v>11348.65</v>
      </c>
      <c r="I303" s="110" t="n">
        <v>10392.3</v>
      </c>
      <c r="J303" s="110" t="n">
        <v>4921.61</v>
      </c>
      <c r="K303" s="110" t="n">
        <v>5374.53</v>
      </c>
      <c r="L303" s="110" t="n">
        <v>600</v>
      </c>
    </row>
    <row r="304" customFormat="false" ht="15" hidden="false" customHeight="false" outlineLevel="0" collapsed="false">
      <c r="A304" s="28" t="s">
        <v>400</v>
      </c>
      <c r="B304" s="63" t="s">
        <v>2050</v>
      </c>
      <c r="C304" s="64" t="n">
        <f aca="false">SUM(E304:P304)</f>
        <v>86464.13</v>
      </c>
      <c r="E304" s="110" t="n">
        <v>10528.67</v>
      </c>
      <c r="F304" s="110" t="n">
        <v>11072.08</v>
      </c>
      <c r="G304" s="110" t="n">
        <v>9984.97</v>
      </c>
      <c r="H304" s="110" t="n">
        <v>11371.46</v>
      </c>
      <c r="I304" s="110" t="n">
        <v>8708.79</v>
      </c>
      <c r="J304" s="110" t="n">
        <v>10869.42</v>
      </c>
      <c r="K304" s="110" t="n">
        <v>10935.18</v>
      </c>
      <c r="L304" s="110" t="n">
        <v>12993.56</v>
      </c>
    </row>
    <row r="305" customFormat="false" ht="15" hidden="false" customHeight="false" outlineLevel="0" collapsed="false">
      <c r="A305" s="28" t="s">
        <v>1449</v>
      </c>
      <c r="B305" s="63" t="s">
        <v>2089</v>
      </c>
      <c r="C305" s="64" t="n">
        <f aca="false">SUM(E305:P305)</f>
        <v>42695.15</v>
      </c>
      <c r="E305" s="110" t="n">
        <v>4944.37</v>
      </c>
      <c r="F305" s="110" t="n">
        <v>6372.97</v>
      </c>
      <c r="G305" s="110" t="n">
        <v>6607.21</v>
      </c>
      <c r="H305" s="110" t="n">
        <v>6672.68</v>
      </c>
      <c r="I305" s="110" t="n">
        <v>6014.03</v>
      </c>
      <c r="J305" s="110" t="n">
        <v>4943.4</v>
      </c>
      <c r="K305" s="110" t="n">
        <v>4701.37</v>
      </c>
      <c r="L305" s="110" t="n">
        <v>2439.12</v>
      </c>
    </row>
    <row r="306" customFormat="false" ht="15" hidden="false" customHeight="false" outlineLevel="0" collapsed="false">
      <c r="A306" s="22" t="s">
        <v>2090</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row>
    <row r="307" customFormat="false" ht="15" hidden="false" customHeight="false" outlineLevel="0" collapsed="false">
      <c r="A307" s="28" t="s">
        <v>1368</v>
      </c>
      <c r="B307" s="63" t="s">
        <v>2044</v>
      </c>
      <c r="C307" s="64" t="n">
        <f aca="false">SUM(E307:P307)</f>
        <v>429262.58</v>
      </c>
      <c r="E307" s="110" t="n">
        <v>50860.06</v>
      </c>
      <c r="F307" s="110" t="n">
        <v>52433.05</v>
      </c>
      <c r="G307" s="110" t="n">
        <v>53515.25</v>
      </c>
      <c r="H307" s="110" t="n">
        <v>52397.87</v>
      </c>
      <c r="I307" s="110" t="n">
        <v>54290.39</v>
      </c>
      <c r="J307" s="110" t="n">
        <v>54703.69</v>
      </c>
      <c r="K307" s="110" t="n">
        <v>55827.87</v>
      </c>
      <c r="L307" s="110" t="n">
        <v>55234.4</v>
      </c>
    </row>
    <row r="308" customFormat="false" ht="15" hidden="false" customHeight="false" outlineLevel="0" collapsed="false">
      <c r="A308" s="28" t="s">
        <v>508</v>
      </c>
      <c r="B308" s="63" t="s">
        <v>2044</v>
      </c>
      <c r="C308" s="64" t="n">
        <f aca="false">SUM(E308:P308)</f>
        <v>552664.36</v>
      </c>
      <c r="E308" s="110" t="n">
        <v>70032.17</v>
      </c>
      <c r="F308" s="110" t="n">
        <v>74973.64</v>
      </c>
      <c r="G308" s="110" t="n">
        <v>73665.29</v>
      </c>
      <c r="H308" s="110" t="n">
        <v>69997.92</v>
      </c>
      <c r="I308" s="110" t="n">
        <v>66737.62</v>
      </c>
      <c r="J308" s="110" t="n">
        <v>67121.62</v>
      </c>
      <c r="K308" s="110" t="n">
        <v>69319.75</v>
      </c>
      <c r="L308" s="110" t="n">
        <v>60816.35</v>
      </c>
    </row>
    <row r="309" customFormat="false" ht="15" hidden="false" customHeight="false" outlineLevel="0" collapsed="false">
      <c r="A309" s="28" t="s">
        <v>2091</v>
      </c>
      <c r="B309" s="63" t="s">
        <v>2044</v>
      </c>
      <c r="C309" s="64" t="n">
        <f aca="false">SUM(E309:P309)</f>
        <v>629448.33</v>
      </c>
      <c r="E309" s="110" t="n">
        <v>61740.13</v>
      </c>
      <c r="F309" s="110" t="n">
        <v>70742.14</v>
      </c>
      <c r="G309" s="110" t="n">
        <v>77654.92</v>
      </c>
      <c r="H309" s="110" t="n">
        <v>99869.83</v>
      </c>
      <c r="I309" s="110" t="n">
        <v>76169.33</v>
      </c>
      <c r="J309" s="110" t="n">
        <v>100475.79</v>
      </c>
      <c r="K309" s="110" t="n">
        <v>72785.73</v>
      </c>
      <c r="L309" s="110" t="n">
        <v>70010.46</v>
      </c>
    </row>
    <row r="310" customFormat="false" ht="15" hidden="false" customHeight="false" outlineLevel="0" collapsed="false">
      <c r="A310" s="28" t="s">
        <v>2092</v>
      </c>
      <c r="B310" s="63" t="s">
        <v>2093</v>
      </c>
      <c r="C310" s="64" t="n">
        <f aca="false">SUM(E310:P310)</f>
        <v>524970.75</v>
      </c>
      <c r="E310" s="110" t="n">
        <v>115679.1</v>
      </c>
      <c r="F310" s="110" t="n">
        <v>0</v>
      </c>
      <c r="G310" s="110" t="n">
        <v>0</v>
      </c>
      <c r="H310" s="110" t="n">
        <v>219166.46</v>
      </c>
      <c r="I310" s="110" t="n">
        <v>0</v>
      </c>
      <c r="J310" s="110" t="n">
        <v>0</v>
      </c>
      <c r="K310" s="110" t="n">
        <v>190125.19</v>
      </c>
      <c r="L310" s="110" t="n">
        <v>0</v>
      </c>
    </row>
    <row r="311" customFormat="false" ht="15" hidden="false" customHeight="false" outlineLevel="0" collapsed="false">
      <c r="A311" s="28" t="s">
        <v>2094</v>
      </c>
      <c r="B311" s="63" t="s">
        <v>2093</v>
      </c>
      <c r="C311" s="64" t="n">
        <f aca="false">SUM(E311:P311)</f>
        <v>596628.73</v>
      </c>
      <c r="E311" s="110" t="n">
        <v>203439.72</v>
      </c>
      <c r="F311" s="110" t="n">
        <v>0</v>
      </c>
      <c r="G311" s="110" t="n">
        <v>0</v>
      </c>
      <c r="H311" s="110" t="n">
        <v>163794.28</v>
      </c>
      <c r="I311" s="110" t="n">
        <v>0</v>
      </c>
      <c r="J311" s="110" t="n">
        <v>0</v>
      </c>
      <c r="K311" s="110" t="n">
        <v>229394.73</v>
      </c>
      <c r="L311" s="110" t="n">
        <v>0</v>
      </c>
    </row>
    <row r="312" customFormat="false" ht="15" hidden="false" customHeight="false" outlineLevel="0" collapsed="false">
      <c r="A312" s="28" t="s">
        <v>2095</v>
      </c>
      <c r="B312" s="63" t="s">
        <v>2093</v>
      </c>
      <c r="C312" s="64" t="n">
        <f aca="false">SUM(E312:P312)</f>
        <v>26220</v>
      </c>
      <c r="E312" s="110" t="n">
        <v>8550</v>
      </c>
      <c r="F312" s="110" t="n">
        <v>0</v>
      </c>
      <c r="G312" s="110" t="n">
        <v>0</v>
      </c>
      <c r="H312" s="110" t="n">
        <v>8835</v>
      </c>
      <c r="I312" s="110" t="n">
        <v>0</v>
      </c>
      <c r="J312" s="110" t="n">
        <v>0</v>
      </c>
      <c r="K312" s="110" t="n">
        <v>8835</v>
      </c>
      <c r="L312" s="110" t="n">
        <v>0</v>
      </c>
    </row>
    <row r="313" customFormat="false" ht="15" hidden="false" customHeight="false" outlineLevel="0" collapsed="false">
      <c r="A313" s="28" t="s">
        <v>2096</v>
      </c>
      <c r="B313" s="63" t="s">
        <v>2044</v>
      </c>
      <c r="C313" s="64" t="n">
        <f aca="false">SUM(E313:P313)</f>
        <v>981835.61</v>
      </c>
      <c r="E313" s="110" t="n">
        <v>109567.68</v>
      </c>
      <c r="F313" s="110" t="n">
        <v>117502.67</v>
      </c>
      <c r="G313" s="110" t="n">
        <v>118966.84</v>
      </c>
      <c r="H313" s="110" t="n">
        <v>122596.28</v>
      </c>
      <c r="I313" s="110" t="n">
        <v>128914.02</v>
      </c>
      <c r="J313" s="110" t="n">
        <v>127183.02</v>
      </c>
      <c r="K313" s="110" t="n">
        <v>127616.9</v>
      </c>
      <c r="L313" s="110" t="n">
        <v>129488.2</v>
      </c>
    </row>
    <row r="314" customFormat="false" ht="15" hidden="false" customHeight="false" outlineLevel="0" collapsed="false">
      <c r="A314" s="28" t="s">
        <v>2097</v>
      </c>
      <c r="B314" s="63" t="s">
        <v>2044</v>
      </c>
      <c r="C314" s="64" t="n">
        <f aca="false">SUM(E314:P314)</f>
        <v>140000</v>
      </c>
      <c r="E314" s="110" t="n">
        <v>17500</v>
      </c>
      <c r="F314" s="110" t="n">
        <v>17500</v>
      </c>
      <c r="G314" s="110" t="n">
        <v>17500</v>
      </c>
      <c r="H314" s="110" t="n">
        <v>17500</v>
      </c>
      <c r="I314" s="110" t="n">
        <v>17500</v>
      </c>
      <c r="J314" s="110" t="n">
        <v>17500</v>
      </c>
      <c r="K314" s="110" t="n">
        <v>17500</v>
      </c>
      <c r="L314" s="110" t="n">
        <v>17500</v>
      </c>
    </row>
    <row r="315" customFormat="false" ht="15" hidden="false" customHeight="false" outlineLevel="0" collapsed="false">
      <c r="A315" s="28" t="s">
        <v>2098</v>
      </c>
      <c r="B315" s="63" t="s">
        <v>2044</v>
      </c>
      <c r="C315" s="64" t="n">
        <f aca="false">SUM(E315:P315)</f>
        <v>55555.56</v>
      </c>
      <c r="E315" s="110" t="n">
        <v>0</v>
      </c>
      <c r="F315" s="110" t="n">
        <v>0</v>
      </c>
      <c r="G315" s="110" t="n">
        <v>0</v>
      </c>
      <c r="H315" s="110" t="n">
        <v>0</v>
      </c>
      <c r="I315" s="110" t="n">
        <v>0</v>
      </c>
      <c r="J315" s="110" t="n">
        <v>0</v>
      </c>
      <c r="K315" s="110" t="n">
        <v>0</v>
      </c>
      <c r="L315" s="110" t="n">
        <v>55555.56</v>
      </c>
    </row>
    <row r="316" customFormat="false" ht="15" hidden="false" customHeight="false" outlineLevel="0" collapsed="false">
      <c r="A316" s="22" t="s">
        <v>2099</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row>
    <row r="317" customFormat="false" ht="15" hidden="false" customHeight="false" outlineLevel="0" collapsed="false">
      <c r="A317" s="28" t="s">
        <v>362</v>
      </c>
      <c r="B317" s="63" t="s">
        <v>2100</v>
      </c>
      <c r="C317" s="110" t="n">
        <v>5200000</v>
      </c>
    </row>
    <row r="318" customFormat="false" ht="15" hidden="false" customHeight="false" outlineLevel="0" collapsed="false">
      <c r="A318" s="28" t="s">
        <v>2101</v>
      </c>
      <c r="B318" s="63" t="s">
        <v>2100</v>
      </c>
      <c r="C318" s="110" t="n">
        <v>177518.55</v>
      </c>
    </row>
    <row r="319" customFormat="false" ht="15" hidden="false" customHeight="false" outlineLevel="0" collapsed="false">
      <c r="A319" s="28" t="s">
        <v>2102</v>
      </c>
      <c r="B319" s="63" t="s">
        <v>2100</v>
      </c>
      <c r="C319" s="110" t="n">
        <v>156629.74</v>
      </c>
    </row>
    <row r="320" customFormat="false" ht="15" hidden="false" customHeight="false" outlineLevel="0" collapsed="false">
      <c r="A320" s="28" t="s">
        <v>1327</v>
      </c>
      <c r="B320" s="63" t="s">
        <v>2100</v>
      </c>
      <c r="C320" s="110" t="n">
        <v>2673.19</v>
      </c>
    </row>
    <row r="321" customFormat="false" ht="15" hidden="false" customHeight="false" outlineLevel="0" collapsed="false">
      <c r="A321" s="28" t="s">
        <v>429</v>
      </c>
      <c r="B321" s="63" t="s">
        <v>2100</v>
      </c>
      <c r="C321" s="110" t="n">
        <v>251463.11</v>
      </c>
    </row>
    <row r="322" customFormat="false" ht="15" hidden="false" customHeight="false" outlineLevel="0" collapsed="false">
      <c r="A322" s="28" t="s">
        <v>2103</v>
      </c>
      <c r="B322" s="63" t="s">
        <v>2100</v>
      </c>
      <c r="C322" s="110" t="n">
        <v>755630.97</v>
      </c>
    </row>
    <row r="323" customFormat="false" ht="15" hidden="false" customHeight="false" outlineLevel="0" collapsed="false">
      <c r="A323" s="28" t="s">
        <v>2104</v>
      </c>
      <c r="B323" s="63" t="s">
        <v>2100</v>
      </c>
      <c r="C323" s="110" t="n">
        <v>212000</v>
      </c>
    </row>
    <row r="324" customFormat="false" ht="15" hidden="false" customHeight="false" outlineLevel="0" collapsed="false">
      <c r="A324" s="28" t="s">
        <v>2105</v>
      </c>
      <c r="B324" s="63" t="s">
        <v>2100</v>
      </c>
      <c r="C324" s="110" t="n">
        <v>118000</v>
      </c>
    </row>
    <row r="325" customFormat="false" ht="15" hidden="false" customHeight="false" outlineLevel="0" collapsed="false">
      <c r="A325" s="28" t="s">
        <v>2106</v>
      </c>
      <c r="B325" s="63" t="s">
        <v>2100</v>
      </c>
      <c r="C325" s="110" t="n">
        <v>96000</v>
      </c>
    </row>
    <row r="326" customFormat="false" ht="15" hidden="false" customHeight="false" outlineLevel="0" collapsed="false">
      <c r="A326" s="28" t="s">
        <v>2107</v>
      </c>
      <c r="B326" s="63" t="s">
        <v>2100</v>
      </c>
      <c r="C326" s="110" t="n">
        <v>41000</v>
      </c>
    </row>
    <row r="327" customFormat="false" ht="15" hidden="false" customHeight="false" outlineLevel="0" collapsed="false">
      <c r="A327" s="28" t="s">
        <v>427</v>
      </c>
      <c r="B327" s="63" t="s">
        <v>2100</v>
      </c>
      <c r="C327" s="110" t="n">
        <v>42000</v>
      </c>
    </row>
    <row r="328" customFormat="false" ht="15" hidden="false" customHeight="false" outlineLevel="0" collapsed="false">
      <c r="A328" s="28" t="s">
        <v>434</v>
      </c>
      <c r="B328" s="63" t="s">
        <v>2100</v>
      </c>
      <c r="C328" s="110" t="n">
        <v>50860.06</v>
      </c>
    </row>
    <row r="329" customFormat="false" ht="15" hidden="false" customHeight="false" outlineLevel="0" collapsed="false">
      <c r="A329" s="28" t="s">
        <v>435</v>
      </c>
      <c r="B329" s="63" t="s">
        <v>2100</v>
      </c>
      <c r="C329" s="110" t="n">
        <v>33557.08</v>
      </c>
    </row>
    <row r="330" customFormat="false" ht="15" hidden="false" customHeight="false" outlineLevel="0" collapsed="false">
      <c r="A330" s="28" t="s">
        <v>436</v>
      </c>
      <c r="B330" s="63" t="s">
        <v>2100</v>
      </c>
      <c r="C330" s="110" t="n">
        <v>65940.13</v>
      </c>
    </row>
    <row r="331" customFormat="false" ht="15" hidden="false" customHeight="false" outlineLevel="0" collapsed="false">
      <c r="A331" s="28" t="s">
        <v>437</v>
      </c>
      <c r="B331" s="63" t="s">
        <v>2100</v>
      </c>
      <c r="C331" s="110" t="n">
        <v>1369529.42</v>
      </c>
    </row>
    <row r="332" customFormat="false" ht="15" hidden="false" customHeight="false" outlineLevel="0" collapsed="false">
      <c r="A332" s="28" t="s">
        <v>438</v>
      </c>
      <c r="B332" s="63" t="s">
        <v>2100</v>
      </c>
      <c r="C332" s="110" t="n">
        <v>66433.33</v>
      </c>
    </row>
    <row r="333" customFormat="false" ht="15" hidden="false" customHeight="false" outlineLevel="0" collapsed="false">
      <c r="A333" s="28" t="s">
        <v>2108</v>
      </c>
      <c r="B333" s="63" t="s">
        <v>2100</v>
      </c>
      <c r="C333" s="110" t="n">
        <v>109567.68</v>
      </c>
    </row>
    <row r="334" customFormat="false" ht="15" hidden="false" customHeight="false" outlineLevel="0" collapsed="false">
      <c r="A334" s="28" t="s">
        <v>2109</v>
      </c>
      <c r="B334" s="63" t="s">
        <v>2100</v>
      </c>
      <c r="C334" s="110" t="n">
        <v>203439.72</v>
      </c>
    </row>
    <row r="335" customFormat="false" ht="15" hidden="false" customHeight="false" outlineLevel="0" collapsed="false">
      <c r="A335" s="28" t="s">
        <v>2110</v>
      </c>
      <c r="B335" s="63" t="s">
        <v>2100</v>
      </c>
      <c r="C335" s="110" t="n">
        <v>8550</v>
      </c>
    </row>
    <row r="336" customFormat="false" ht="15" hidden="false" customHeight="false" outlineLevel="0" collapsed="false">
      <c r="A336" s="28" t="s">
        <v>2111</v>
      </c>
      <c r="B336" s="63" t="s">
        <v>2100</v>
      </c>
      <c r="C336" s="110" t="n">
        <v>115679.1</v>
      </c>
    </row>
    <row r="337" customFormat="false" ht="15" hidden="false" customHeight="false" outlineLevel="0" collapsed="false">
      <c r="A337" s="28" t="s">
        <v>2112</v>
      </c>
      <c r="B337" s="63" t="s">
        <v>2100</v>
      </c>
      <c r="C337" s="110" t="n">
        <v>4159.68</v>
      </c>
    </row>
    <row r="338" customFormat="false" ht="15" hidden="false" customHeight="false" outlineLevel="0" collapsed="false">
      <c r="A338" s="28" t="s">
        <v>2113</v>
      </c>
      <c r="B338" s="63" t="s">
        <v>2100</v>
      </c>
      <c r="C338" s="110" t="n">
        <v>0</v>
      </c>
    </row>
    <row r="339" customFormat="false" ht="15" hidden="false" customHeight="false" outlineLevel="0" collapsed="false">
      <c r="A339" s="28" t="s">
        <v>2114</v>
      </c>
      <c r="B339" s="63" t="s">
        <v>2100</v>
      </c>
      <c r="C339" s="110" t="n">
        <v>2000000</v>
      </c>
    </row>
    <row r="340" customFormat="false" ht="15" hidden="false" customHeight="false" outlineLevel="0" collapsed="false">
      <c r="A340" s="28" t="s">
        <v>450</v>
      </c>
      <c r="B340" s="63" t="s">
        <v>2100</v>
      </c>
      <c r="C340" s="110" t="n">
        <v>36000</v>
      </c>
    </row>
    <row r="341" customFormat="false" ht="15" hidden="false" customHeight="false" outlineLevel="0" collapsed="false">
      <c r="A341" s="28" t="s">
        <v>452</v>
      </c>
      <c r="B341" s="63" t="s">
        <v>2100</v>
      </c>
      <c r="C341" s="110" t="n">
        <v>10400000</v>
      </c>
    </row>
    <row r="342" customFormat="false" ht="15" hidden="false" customHeight="false" outlineLevel="0" collapsed="false">
      <c r="A342" s="28" t="s">
        <v>455</v>
      </c>
      <c r="B342" s="63" t="s">
        <v>2100</v>
      </c>
      <c r="C342" s="110" t="n">
        <v>-7734147.02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3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15" min="3" style="0" width="12"/>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2115</v>
      </c>
    </row>
    <row r="3" customFormat="false" ht="15" hidden="false" customHeight="false" outlineLevel="0" collapsed="false">
      <c r="A3" s="25" t="s">
        <v>2116</v>
      </c>
    </row>
    <row r="5" customFormat="false" ht="19.5" hidden="false" customHeight="true" outlineLevel="0" collapsed="false">
      <c r="A5" s="26" t="s">
        <v>325</v>
      </c>
      <c r="B5" s="27" t="s">
        <v>2117</v>
      </c>
      <c r="C5" s="27" t="s">
        <v>2118</v>
      </c>
      <c r="D5" s="27" t="s">
        <v>2119</v>
      </c>
      <c r="E5" s="27" t="s">
        <v>2120</v>
      </c>
      <c r="F5" s="27" t="s">
        <v>2121</v>
      </c>
      <c r="G5" s="27" t="s">
        <v>2122</v>
      </c>
      <c r="H5" s="27" t="s">
        <v>2123</v>
      </c>
      <c r="I5" s="27" t="s">
        <v>2124</v>
      </c>
      <c r="J5" s="27" t="s">
        <v>2125</v>
      </c>
      <c r="K5" s="27" t="s">
        <v>2126</v>
      </c>
      <c r="L5" s="27" t="s">
        <v>2127</v>
      </c>
      <c r="M5" s="27" t="s">
        <v>2128</v>
      </c>
      <c r="N5" s="27" t="s">
        <v>2129</v>
      </c>
      <c r="O5" s="27" t="s">
        <v>2130</v>
      </c>
    </row>
    <row r="6" customFormat="false" ht="15" hidden="false" customHeight="false" outlineLevel="0" collapsed="false">
      <c r="A6" s="22" t="s">
        <v>2131</v>
      </c>
      <c r="B6" s="23"/>
      <c r="C6" s="23"/>
      <c r="D6" s="23"/>
      <c r="E6" s="23"/>
      <c r="F6" s="23"/>
      <c r="G6" s="23"/>
      <c r="H6" s="23"/>
      <c r="I6" s="23"/>
      <c r="J6" s="23"/>
      <c r="K6" s="23"/>
      <c r="L6" s="23"/>
      <c r="M6" s="23"/>
      <c r="N6" s="23"/>
      <c r="O6" s="23"/>
    </row>
    <row r="7" customFormat="false" ht="15" hidden="false" customHeight="false" outlineLevel="0" collapsed="false">
      <c r="A7" s="0" t="s">
        <v>731</v>
      </c>
      <c r="B7" s="57" t="s">
        <v>2132</v>
      </c>
      <c r="C7" s="110" t="n">
        <v>118458.63</v>
      </c>
      <c r="D7" s="110" t="n">
        <v>128742.16</v>
      </c>
      <c r="E7" s="110" t="n">
        <v>136544.67</v>
      </c>
      <c r="F7" s="110" t="n">
        <v>139503.71</v>
      </c>
      <c r="G7" s="110" t="n">
        <v>142956.98</v>
      </c>
      <c r="H7" s="110" t="n">
        <v>145771.12</v>
      </c>
      <c r="I7" s="110" t="n">
        <v>149862.06</v>
      </c>
      <c r="J7" s="110" t="n">
        <v>153526.01</v>
      </c>
      <c r="K7" s="110" t="n">
        <v>154838.54</v>
      </c>
      <c r="L7" s="110" t="n">
        <v>154989.44</v>
      </c>
      <c r="M7" s="110" t="n">
        <v>157561.25</v>
      </c>
      <c r="N7" s="110" t="n">
        <v>160380.64</v>
      </c>
    </row>
    <row r="8" customFormat="false" ht="15" hidden="false" customHeight="false" outlineLevel="0" collapsed="false">
      <c r="A8" s="0" t="s">
        <v>732</v>
      </c>
      <c r="B8" s="57" t="s">
        <v>2133</v>
      </c>
      <c r="C8" s="110" t="n">
        <v>7291.19</v>
      </c>
      <c r="D8" s="110" t="n">
        <v>9491.08</v>
      </c>
      <c r="E8" s="110" t="n">
        <v>3995.19</v>
      </c>
      <c r="F8" s="110" t="n">
        <v>4905.32</v>
      </c>
      <c r="G8" s="110" t="n">
        <v>4825.59</v>
      </c>
      <c r="H8" s="110" t="n">
        <v>5822.45</v>
      </c>
      <c r="I8" s="110" t="n">
        <v>5981.26</v>
      </c>
      <c r="J8" s="110" t="n">
        <v>4055.7</v>
      </c>
      <c r="K8" s="110" t="n">
        <v>1714.59</v>
      </c>
      <c r="L8" s="110" t="n">
        <v>5538.87</v>
      </c>
      <c r="M8" s="110" t="n">
        <v>4455.16</v>
      </c>
      <c r="N8" s="110" t="n">
        <v>5400.55</v>
      </c>
      <c r="O8" s="36" t="n">
        <f aca="false">SUM(C8:N8)</f>
        <v>63476.95</v>
      </c>
    </row>
    <row r="9" customFormat="false" ht="15" hidden="false" customHeight="false" outlineLevel="0" collapsed="false">
      <c r="A9" s="0" t="s">
        <v>733</v>
      </c>
      <c r="B9" s="57" t="s">
        <v>2134</v>
      </c>
      <c r="C9" s="110" t="n">
        <v>1132.26</v>
      </c>
      <c r="D9" s="110" t="n">
        <v>1527.8</v>
      </c>
      <c r="E9" s="110" t="n">
        <v>1285.93</v>
      </c>
      <c r="F9" s="110" t="n">
        <v>1254.23</v>
      </c>
      <c r="G9" s="110" t="n">
        <v>1369.59</v>
      </c>
      <c r="H9" s="110" t="n">
        <v>1618.45</v>
      </c>
      <c r="I9" s="110" t="n">
        <v>1491.25</v>
      </c>
      <c r="J9" s="110" t="n">
        <v>1399.25</v>
      </c>
      <c r="K9" s="110" t="n">
        <v>1806.72</v>
      </c>
      <c r="L9" s="110" t="n">
        <v>1668.08</v>
      </c>
      <c r="M9" s="110" t="n">
        <v>1870.11</v>
      </c>
      <c r="N9" s="110" t="n">
        <v>1434.6</v>
      </c>
      <c r="O9" s="36" t="n">
        <f aca="false">SUM(C9:N9)</f>
        <v>17858.27</v>
      </c>
    </row>
    <row r="10" customFormat="false" ht="15" hidden="false" customHeight="false" outlineLevel="0" collapsed="false">
      <c r="A10" s="0" t="s">
        <v>734</v>
      </c>
      <c r="B10" s="57" t="s">
        <v>2135</v>
      </c>
      <c r="C10" s="110" t="n">
        <v>4671.19</v>
      </c>
      <c r="D10" s="110" t="n">
        <v>0</v>
      </c>
      <c r="E10" s="110" t="n">
        <v>0</v>
      </c>
      <c r="F10" s="110" t="n">
        <v>0</v>
      </c>
      <c r="G10" s="110" t="n">
        <v>0</v>
      </c>
      <c r="H10" s="110" t="n">
        <v>0</v>
      </c>
      <c r="I10" s="110" t="n">
        <v>0</v>
      </c>
      <c r="J10" s="110" t="n">
        <v>0</v>
      </c>
      <c r="K10" s="110" t="n">
        <v>0</v>
      </c>
      <c r="L10" s="110" t="n">
        <v>0</v>
      </c>
      <c r="M10" s="110" t="n">
        <v>0</v>
      </c>
      <c r="N10" s="110" t="n">
        <v>0</v>
      </c>
      <c r="O10" s="36" t="n">
        <f aca="false">SUM(C10:N10)</f>
        <v>4671.19</v>
      </c>
    </row>
    <row r="11" customFormat="false" ht="15" hidden="false" customHeight="false" outlineLevel="0" collapsed="false">
      <c r="A11" s="0" t="s">
        <v>735</v>
      </c>
      <c r="B11" s="57" t="s">
        <v>2136</v>
      </c>
      <c r="C11" s="110" t="n">
        <v>-562.74</v>
      </c>
      <c r="D11" s="110" t="n">
        <v>-589.5</v>
      </c>
      <c r="E11" s="110" t="n">
        <v>-621.62</v>
      </c>
      <c r="F11" s="110" t="n">
        <v>-491.76</v>
      </c>
      <c r="G11" s="110" t="n">
        <v>-721.92</v>
      </c>
      <c r="H11" s="110" t="n">
        <v>-635.93</v>
      </c>
      <c r="I11" s="110" t="n">
        <v>-733.52</v>
      </c>
      <c r="J11" s="110" t="n">
        <v>-560.67</v>
      </c>
      <c r="K11" s="110" t="n">
        <v>-638.81</v>
      </c>
      <c r="L11" s="110" t="n">
        <v>-787.84</v>
      </c>
      <c r="M11" s="110" t="n">
        <v>-695.66</v>
      </c>
      <c r="N11" s="110" t="n">
        <v>-798.73</v>
      </c>
      <c r="O11" s="36" t="n">
        <f aca="false">SUM(C11:N11)</f>
        <v>-7838.7</v>
      </c>
    </row>
    <row r="12" customFormat="false" ht="15" hidden="false" customHeight="false" outlineLevel="0" collapsed="false">
      <c r="A12" s="0" t="s">
        <v>736</v>
      </c>
      <c r="B12" s="57" t="s">
        <v>2137</v>
      </c>
      <c r="C12" s="110" t="n">
        <v>-2248.37</v>
      </c>
      <c r="D12" s="110" t="n">
        <v>-2626.87</v>
      </c>
      <c r="E12" s="110" t="n">
        <v>-1700.46</v>
      </c>
      <c r="F12" s="110" t="n">
        <v>-2214.52</v>
      </c>
      <c r="G12" s="110" t="n">
        <v>-2659.12</v>
      </c>
      <c r="H12" s="110" t="n">
        <v>-2714.03</v>
      </c>
      <c r="I12" s="110" t="n">
        <v>-3075.04</v>
      </c>
      <c r="J12" s="110" t="n">
        <v>-3581.75</v>
      </c>
      <c r="K12" s="110" t="n">
        <v>-2731.6</v>
      </c>
      <c r="L12" s="110" t="n">
        <v>-3847.3</v>
      </c>
      <c r="M12" s="110" t="n">
        <v>-2810.22</v>
      </c>
      <c r="N12" s="110" t="n">
        <v>-2198.23</v>
      </c>
      <c r="O12" s="36" t="n">
        <f aca="false">SUM(C12:N12)</f>
        <v>-32407.51</v>
      </c>
    </row>
    <row r="13" customFormat="false" ht="15" hidden="false" customHeight="false" outlineLevel="0" collapsed="false">
      <c r="A13" s="0" t="s">
        <v>737</v>
      </c>
      <c r="B13" s="57" t="s">
        <v>2138</v>
      </c>
      <c r="C13" s="110" t="n">
        <v>128742.16</v>
      </c>
      <c r="D13" s="110" t="n">
        <v>136544.67</v>
      </c>
      <c r="E13" s="110" t="n">
        <v>139503.71</v>
      </c>
      <c r="F13" s="110" t="n">
        <v>142956.98</v>
      </c>
      <c r="G13" s="110" t="n">
        <v>145771.12</v>
      </c>
      <c r="H13" s="110" t="n">
        <v>149862.06</v>
      </c>
      <c r="I13" s="110" t="n">
        <v>153526.01</v>
      </c>
      <c r="J13" s="110" t="n">
        <v>154838.54</v>
      </c>
      <c r="K13" s="110" t="n">
        <v>154989.44</v>
      </c>
      <c r="L13" s="110" t="n">
        <v>157561.25</v>
      </c>
      <c r="M13" s="110" t="n">
        <v>160380.64</v>
      </c>
      <c r="N13" s="110" t="n">
        <v>164218.83</v>
      </c>
    </row>
    <row r="14" customFormat="false" ht="15" hidden="false" customHeight="false" outlineLevel="0" collapsed="false">
      <c r="A14" s="0" t="s">
        <v>739</v>
      </c>
      <c r="B14" s="57" t="s">
        <v>2139</v>
      </c>
      <c r="C14" s="139" t="n">
        <v>35</v>
      </c>
      <c r="D14" s="139" t="n">
        <v>46</v>
      </c>
      <c r="E14" s="139" t="n">
        <v>22</v>
      </c>
      <c r="F14" s="139" t="n">
        <v>25</v>
      </c>
      <c r="G14" s="139" t="n">
        <v>25</v>
      </c>
      <c r="H14" s="139" t="n">
        <v>29</v>
      </c>
      <c r="I14" s="139" t="n">
        <v>29</v>
      </c>
      <c r="J14" s="139" t="n">
        <v>20</v>
      </c>
      <c r="K14" s="139" t="n">
        <v>9</v>
      </c>
      <c r="L14" s="139" t="n">
        <v>29</v>
      </c>
      <c r="M14" s="139" t="n">
        <v>25</v>
      </c>
      <c r="N14" s="139" t="n">
        <v>25</v>
      </c>
      <c r="O14" s="38" t="n">
        <f aca="false">SUM(C14:N14)</f>
        <v>319</v>
      </c>
    </row>
    <row r="15" customFormat="false" ht="15" hidden="false" customHeight="false" outlineLevel="0" collapsed="false">
      <c r="A15" s="0" t="s">
        <v>740</v>
      </c>
      <c r="B15" s="57" t="s">
        <v>2140</v>
      </c>
      <c r="C15" s="139" t="n">
        <v>-13</v>
      </c>
      <c r="D15" s="139" t="n">
        <v>-14</v>
      </c>
      <c r="E15" s="139" t="n">
        <v>-11</v>
      </c>
      <c r="F15" s="139" t="n">
        <v>-12</v>
      </c>
      <c r="G15" s="139" t="n">
        <v>-14</v>
      </c>
      <c r="H15" s="139" t="n">
        <v>-15</v>
      </c>
      <c r="I15" s="139" t="n">
        <v>-17</v>
      </c>
      <c r="J15" s="139" t="n">
        <v>-20</v>
      </c>
      <c r="K15" s="139" t="n">
        <v>-15</v>
      </c>
      <c r="L15" s="139" t="n">
        <v>-21</v>
      </c>
      <c r="M15" s="139" t="n">
        <v>-16</v>
      </c>
      <c r="N15" s="139" t="n">
        <v>-11</v>
      </c>
      <c r="O15" s="38" t="n">
        <f aca="false">SUM(C15:N15)</f>
        <v>-179</v>
      </c>
    </row>
    <row r="16" customFormat="false" ht="15" hidden="false" customHeight="false" outlineLevel="0" collapsed="false">
      <c r="A16" s="0" t="s">
        <v>2141</v>
      </c>
      <c r="B16" s="57" t="s">
        <v>2142</v>
      </c>
      <c r="C16" s="139" t="n">
        <v>610</v>
      </c>
      <c r="D16" s="139" t="n">
        <v>642</v>
      </c>
      <c r="E16" s="139" t="n">
        <v>653</v>
      </c>
      <c r="F16" s="139" t="n">
        <v>666</v>
      </c>
      <c r="G16" s="139" t="n">
        <v>677</v>
      </c>
      <c r="H16" s="139" t="n">
        <v>691</v>
      </c>
      <c r="I16" s="139" t="n">
        <v>703</v>
      </c>
      <c r="J16" s="139" t="n">
        <v>703</v>
      </c>
      <c r="K16" s="139" t="n">
        <v>697</v>
      </c>
      <c r="L16" s="139" t="n">
        <v>705</v>
      </c>
      <c r="M16" s="139" t="n">
        <v>714</v>
      </c>
      <c r="N16" s="139" t="n">
        <v>728</v>
      </c>
    </row>
    <row r="17" customFormat="false" ht="15" hidden="false" customHeight="false" outlineLevel="0" collapsed="false">
      <c r="A17" s="22" t="s">
        <v>2143</v>
      </c>
      <c r="B17" s="23"/>
      <c r="C17" s="23"/>
      <c r="D17" s="23"/>
      <c r="E17" s="23"/>
      <c r="F17" s="23"/>
      <c r="G17" s="23"/>
      <c r="H17" s="23"/>
      <c r="I17" s="23"/>
      <c r="J17" s="23"/>
      <c r="K17" s="23"/>
      <c r="L17" s="23"/>
      <c r="M17" s="23"/>
      <c r="N17" s="23"/>
      <c r="O17" s="23"/>
    </row>
    <row r="18" customFormat="false" ht="15" hidden="false" customHeight="false" outlineLevel="0" collapsed="false">
      <c r="A18" s="0" t="s">
        <v>731</v>
      </c>
      <c r="B18" s="57" t="s">
        <v>2144</v>
      </c>
      <c r="C18" s="110" t="n">
        <v>118608.72</v>
      </c>
      <c r="D18" s="110" t="n">
        <v>126198</v>
      </c>
      <c r="E18" s="110" t="n">
        <v>127542.88</v>
      </c>
      <c r="F18" s="110" t="n">
        <v>133715.35</v>
      </c>
      <c r="G18" s="110" t="n">
        <v>135950.27</v>
      </c>
      <c r="H18" s="110" t="n">
        <v>141200.62</v>
      </c>
      <c r="I18" s="110" t="n">
        <v>140592.74</v>
      </c>
      <c r="J18" s="110" t="n">
        <v>145568</v>
      </c>
      <c r="K18" s="110" t="n">
        <v>149462.32</v>
      </c>
      <c r="L18" s="110" t="n">
        <v>148975.89</v>
      </c>
      <c r="M18" s="110" t="n">
        <v>147650.45</v>
      </c>
      <c r="N18" s="110" t="n">
        <v>151613.44</v>
      </c>
    </row>
    <row r="19" customFormat="false" ht="15" hidden="false" customHeight="false" outlineLevel="0" collapsed="false">
      <c r="A19" s="0" t="s">
        <v>732</v>
      </c>
      <c r="B19" s="57" t="s">
        <v>2145</v>
      </c>
      <c r="C19" s="110" t="n">
        <v>7772.35</v>
      </c>
      <c r="D19" s="110" t="n">
        <v>919.97</v>
      </c>
      <c r="E19" s="110" t="n">
        <v>4862.55</v>
      </c>
      <c r="F19" s="110" t="n">
        <v>1801.31</v>
      </c>
      <c r="G19" s="110" t="n">
        <v>4939.61</v>
      </c>
      <c r="H19" s="110" t="n">
        <v>0</v>
      </c>
      <c r="I19" s="110" t="n">
        <v>4553.89</v>
      </c>
      <c r="J19" s="110" t="n">
        <v>3857.63</v>
      </c>
      <c r="K19" s="110" t="n">
        <v>0</v>
      </c>
      <c r="L19" s="110" t="n">
        <v>0</v>
      </c>
      <c r="M19" s="110" t="n">
        <v>4412.06</v>
      </c>
      <c r="N19" s="110" t="n">
        <v>2943.3</v>
      </c>
      <c r="O19" s="36" t="n">
        <f aca="false">SUM(C19:N19)</f>
        <v>36062.67</v>
      </c>
    </row>
    <row r="20" customFormat="false" ht="15" hidden="false" customHeight="false" outlineLevel="0" collapsed="false">
      <c r="A20" s="0" t="s">
        <v>733</v>
      </c>
      <c r="B20" s="57" t="s">
        <v>2146</v>
      </c>
      <c r="C20" s="110" t="n">
        <v>1284.91</v>
      </c>
      <c r="D20" s="110" t="n">
        <v>1236.89</v>
      </c>
      <c r="E20" s="110" t="n">
        <v>1159.85</v>
      </c>
      <c r="F20" s="110" t="n">
        <v>1082.38</v>
      </c>
      <c r="G20" s="110" t="n">
        <v>988.7</v>
      </c>
      <c r="H20" s="110" t="n">
        <v>1108.31</v>
      </c>
      <c r="I20" s="110" t="n">
        <v>1177.59</v>
      </c>
      <c r="J20" s="110" t="n">
        <v>913.16</v>
      </c>
      <c r="K20" s="110" t="n">
        <v>1232.44</v>
      </c>
      <c r="L20" s="110" t="n">
        <v>1160.66</v>
      </c>
      <c r="M20" s="110" t="n">
        <v>1137.3</v>
      </c>
      <c r="N20" s="110" t="n">
        <v>1046.2</v>
      </c>
      <c r="O20" s="36" t="n">
        <f aca="false">SUM(C20:N20)</f>
        <v>13528.39</v>
      </c>
    </row>
    <row r="21" customFormat="false" ht="15" hidden="false" customHeight="false" outlineLevel="0" collapsed="false">
      <c r="A21" s="0" t="s">
        <v>734</v>
      </c>
      <c r="B21" s="57" t="s">
        <v>2147</v>
      </c>
      <c r="C21" s="110" t="n">
        <v>464.48</v>
      </c>
      <c r="D21" s="110" t="n">
        <v>328.45</v>
      </c>
      <c r="E21" s="110" t="n">
        <v>338.75</v>
      </c>
      <c r="F21" s="110" t="n">
        <v>406.65</v>
      </c>
      <c r="G21" s="110" t="n">
        <v>378.07</v>
      </c>
      <c r="H21" s="110" t="n">
        <v>341.51</v>
      </c>
      <c r="I21" s="110" t="n">
        <v>404.36</v>
      </c>
      <c r="J21" s="110" t="n">
        <v>205.56</v>
      </c>
      <c r="K21" s="110" t="n">
        <v>432.11</v>
      </c>
      <c r="L21" s="110" t="n">
        <v>356.62</v>
      </c>
      <c r="M21" s="110" t="n">
        <v>263.28</v>
      </c>
      <c r="N21" s="110" t="n">
        <v>259.86</v>
      </c>
      <c r="O21" s="36" t="n">
        <f aca="false">SUM(C21:N21)</f>
        <v>4179.7</v>
      </c>
    </row>
    <row r="22" customFormat="false" ht="15" hidden="false" customHeight="false" outlineLevel="0" collapsed="false">
      <c r="A22" s="0" t="s">
        <v>735</v>
      </c>
      <c r="B22" s="57" t="s">
        <v>2148</v>
      </c>
      <c r="C22" s="110" t="n">
        <v>-236.36</v>
      </c>
      <c r="D22" s="110" t="n">
        <v>-235.75</v>
      </c>
      <c r="E22" s="110" t="n">
        <v>-188.68</v>
      </c>
      <c r="F22" s="110" t="n">
        <v>-244.74</v>
      </c>
      <c r="G22" s="110" t="n">
        <v>-182</v>
      </c>
      <c r="H22" s="110" t="n">
        <v>-188.75</v>
      </c>
      <c r="I22" s="110" t="n">
        <v>-221.99</v>
      </c>
      <c r="J22" s="110" t="n">
        <v>-127.15</v>
      </c>
      <c r="K22" s="110" t="n">
        <v>-265.14</v>
      </c>
      <c r="L22" s="110" t="n">
        <v>-233.76</v>
      </c>
      <c r="M22" s="110" t="n">
        <v>-141.55</v>
      </c>
      <c r="N22" s="110" t="n">
        <v>-170.75</v>
      </c>
      <c r="O22" s="36" t="n">
        <f aca="false">SUM(C22:N22)</f>
        <v>-2436.62</v>
      </c>
    </row>
    <row r="23" customFormat="false" ht="15" hidden="false" customHeight="false" outlineLevel="0" collapsed="false">
      <c r="A23" s="0" t="s">
        <v>736</v>
      </c>
      <c r="B23" s="57" t="s">
        <v>2149</v>
      </c>
      <c r="C23" s="110" t="n">
        <v>-1696.1</v>
      </c>
      <c r="D23" s="110" t="n">
        <v>-904.68</v>
      </c>
      <c r="E23" s="110" t="n">
        <v>0</v>
      </c>
      <c r="F23" s="110" t="n">
        <v>-810.68</v>
      </c>
      <c r="G23" s="110" t="n">
        <v>-874.03</v>
      </c>
      <c r="H23" s="110" t="n">
        <v>-1868.95</v>
      </c>
      <c r="I23" s="110" t="n">
        <v>-938.59</v>
      </c>
      <c r="J23" s="110" t="n">
        <v>-954.88</v>
      </c>
      <c r="K23" s="110" t="n">
        <v>-1885.84</v>
      </c>
      <c r="L23" s="110" t="n">
        <v>-2608.96</v>
      </c>
      <c r="M23" s="110" t="n">
        <v>-1708.1</v>
      </c>
      <c r="N23" s="110" t="n">
        <v>-892.48</v>
      </c>
      <c r="O23" s="36" t="n">
        <f aca="false">SUM(C23:N23)</f>
        <v>-15143.29</v>
      </c>
    </row>
    <row r="24" customFormat="false" ht="15" hidden="false" customHeight="false" outlineLevel="0" collapsed="false">
      <c r="A24" s="0" t="s">
        <v>737</v>
      </c>
      <c r="B24" s="57" t="s">
        <v>2150</v>
      </c>
      <c r="C24" s="110" t="n">
        <v>126198</v>
      </c>
      <c r="D24" s="110" t="n">
        <v>127542.88</v>
      </c>
      <c r="E24" s="110" t="n">
        <v>133715.35</v>
      </c>
      <c r="F24" s="110" t="n">
        <v>135950.27</v>
      </c>
      <c r="G24" s="110" t="n">
        <v>141200.62</v>
      </c>
      <c r="H24" s="110" t="n">
        <v>140592.74</v>
      </c>
      <c r="I24" s="110" t="n">
        <v>145568</v>
      </c>
      <c r="J24" s="110" t="n">
        <v>149462.32</v>
      </c>
      <c r="K24" s="110" t="n">
        <v>148975.89</v>
      </c>
      <c r="L24" s="110" t="n">
        <v>147650.45</v>
      </c>
      <c r="M24" s="110" t="n">
        <v>151613.44</v>
      </c>
      <c r="N24" s="110" t="n">
        <v>154799.57</v>
      </c>
    </row>
    <row r="25" customFormat="false" ht="15" hidden="false" customHeight="false" outlineLevel="0" collapsed="false">
      <c r="A25" s="0" t="s">
        <v>739</v>
      </c>
      <c r="B25" s="57" t="s">
        <v>2151</v>
      </c>
      <c r="C25" s="139" t="n">
        <v>8</v>
      </c>
      <c r="D25" s="139" t="n">
        <v>1</v>
      </c>
      <c r="E25" s="139" t="n">
        <v>5</v>
      </c>
      <c r="F25" s="139" t="n">
        <v>2</v>
      </c>
      <c r="G25" s="139" t="n">
        <v>5</v>
      </c>
      <c r="H25" s="139" t="n">
        <v>0</v>
      </c>
      <c r="I25" s="139" t="n">
        <v>5</v>
      </c>
      <c r="J25" s="139" t="n">
        <v>4</v>
      </c>
      <c r="K25" s="139" t="n">
        <v>0</v>
      </c>
      <c r="L25" s="139" t="n">
        <v>0</v>
      </c>
      <c r="M25" s="139" t="n">
        <v>5</v>
      </c>
      <c r="N25" s="139" t="n">
        <v>3</v>
      </c>
      <c r="O25" s="38" t="n">
        <f aca="false">SUM(C25:N25)</f>
        <v>38</v>
      </c>
    </row>
    <row r="26" customFormat="false" ht="15" hidden="false" customHeight="false" outlineLevel="0" collapsed="false">
      <c r="A26" s="0" t="s">
        <v>740</v>
      </c>
      <c r="B26" s="57" t="s">
        <v>2152</v>
      </c>
      <c r="C26" s="139" t="n">
        <v>-2</v>
      </c>
      <c r="D26" s="139" t="n">
        <v>-1</v>
      </c>
      <c r="E26" s="139" t="n">
        <v>0</v>
      </c>
      <c r="F26" s="139" t="n">
        <v>-1</v>
      </c>
      <c r="G26" s="139" t="n">
        <v>-1</v>
      </c>
      <c r="H26" s="139" t="n">
        <v>-2</v>
      </c>
      <c r="I26" s="139" t="n">
        <v>-1</v>
      </c>
      <c r="J26" s="139" t="n">
        <v>-1</v>
      </c>
      <c r="K26" s="139" t="n">
        <v>-2</v>
      </c>
      <c r="L26" s="139" t="n">
        <v>-3</v>
      </c>
      <c r="M26" s="139" t="n">
        <v>-2</v>
      </c>
      <c r="N26" s="139" t="n">
        <v>-1</v>
      </c>
      <c r="O26" s="38" t="n">
        <f aca="false">SUM(C26:N26)</f>
        <v>-17</v>
      </c>
    </row>
    <row r="27" customFormat="false" ht="15" hidden="false" customHeight="false" outlineLevel="0" collapsed="false">
      <c r="A27" s="0" t="s">
        <v>2141</v>
      </c>
      <c r="B27" s="57" t="s">
        <v>2153</v>
      </c>
      <c r="C27" s="139" t="n">
        <v>131</v>
      </c>
      <c r="D27" s="139" t="n">
        <v>131</v>
      </c>
      <c r="E27" s="139" t="n">
        <v>136</v>
      </c>
      <c r="F27" s="139" t="n">
        <v>137</v>
      </c>
      <c r="G27" s="139" t="n">
        <v>141</v>
      </c>
      <c r="H27" s="139" t="n">
        <v>139</v>
      </c>
      <c r="I27" s="139" t="n">
        <v>143</v>
      </c>
      <c r="J27" s="139" t="n">
        <v>146</v>
      </c>
      <c r="K27" s="139" t="n">
        <v>144</v>
      </c>
      <c r="L27" s="139" t="n">
        <v>141</v>
      </c>
      <c r="M27" s="139" t="n">
        <v>144</v>
      </c>
      <c r="N27" s="139" t="n">
        <v>146</v>
      </c>
    </row>
    <row r="28" customFormat="false" ht="15" hidden="false" customHeight="false" outlineLevel="0" collapsed="false">
      <c r="A28" s="0" t="s">
        <v>1035</v>
      </c>
      <c r="B28" s="57" t="s">
        <v>2154</v>
      </c>
      <c r="C28" s="110" t="n">
        <v>19200</v>
      </c>
      <c r="D28" s="110" t="n">
        <v>2400</v>
      </c>
      <c r="E28" s="110" t="n">
        <v>12000</v>
      </c>
      <c r="F28" s="110" t="n">
        <v>4800</v>
      </c>
      <c r="G28" s="110" t="n">
        <v>12000</v>
      </c>
      <c r="H28" s="110" t="n">
        <v>0</v>
      </c>
      <c r="I28" s="110" t="n">
        <v>12000</v>
      </c>
      <c r="J28" s="110" t="n">
        <v>9600</v>
      </c>
      <c r="K28" s="110" t="n">
        <v>0</v>
      </c>
      <c r="L28" s="110" t="n">
        <v>0</v>
      </c>
      <c r="M28" s="110" t="n">
        <v>12000</v>
      </c>
      <c r="N28" s="110" t="n">
        <v>7200</v>
      </c>
      <c r="O28" s="36" t="n">
        <f aca="false">SUM(C28:N28)</f>
        <v>91200</v>
      </c>
    </row>
    <row r="29" customFormat="false" ht="15" hidden="false" customHeight="false" outlineLevel="0" collapsed="false">
      <c r="A29" s="22" t="s">
        <v>2155</v>
      </c>
      <c r="B29" s="23"/>
      <c r="C29" s="23"/>
      <c r="D29" s="23"/>
      <c r="E29" s="23"/>
      <c r="F29" s="23"/>
      <c r="G29" s="23"/>
      <c r="H29" s="23"/>
      <c r="I29" s="23"/>
      <c r="J29" s="23"/>
      <c r="K29" s="23"/>
      <c r="L29" s="23"/>
      <c r="M29" s="23"/>
      <c r="N29" s="23"/>
      <c r="O29" s="23"/>
    </row>
    <row r="30" customFormat="false" ht="15" hidden="false" customHeight="false" outlineLevel="0" collapsed="false">
      <c r="A30" s="0" t="s">
        <v>731</v>
      </c>
      <c r="B30" s="57" t="s">
        <v>2156</v>
      </c>
      <c r="C30" s="110" t="n">
        <v>98585.15</v>
      </c>
      <c r="D30" s="110" t="n">
        <v>107293.2</v>
      </c>
      <c r="E30" s="110" t="n">
        <v>107746.01</v>
      </c>
      <c r="F30" s="110" t="n">
        <v>114207.6</v>
      </c>
      <c r="G30" s="110" t="n">
        <v>110211.21</v>
      </c>
      <c r="H30" s="110" t="n">
        <v>115116.32</v>
      </c>
      <c r="I30" s="110" t="n">
        <v>116145.94</v>
      </c>
      <c r="J30" s="110" t="n">
        <v>120945.94</v>
      </c>
      <c r="K30" s="110" t="n">
        <v>120945.94</v>
      </c>
      <c r="L30" s="110" t="n">
        <v>128351.57</v>
      </c>
      <c r="M30" s="110" t="n">
        <v>128769.14</v>
      </c>
      <c r="N30" s="110" t="n">
        <v>133828.86</v>
      </c>
    </row>
    <row r="31" customFormat="false" ht="15" hidden="false" customHeight="false" outlineLevel="0" collapsed="false">
      <c r="A31" s="0" t="s">
        <v>732</v>
      </c>
      <c r="B31" s="57" t="s">
        <v>2157</v>
      </c>
      <c r="C31" s="110" t="n">
        <v>7300</v>
      </c>
      <c r="D31" s="110" t="n">
        <v>0</v>
      </c>
      <c r="E31" s="110" t="n">
        <v>5000</v>
      </c>
      <c r="F31" s="110" t="n">
        <v>0</v>
      </c>
      <c r="G31" s="110" t="n">
        <v>4400</v>
      </c>
      <c r="H31" s="110" t="n">
        <v>0</v>
      </c>
      <c r="I31" s="110" t="n">
        <v>4800</v>
      </c>
      <c r="J31" s="110" t="n">
        <v>0</v>
      </c>
      <c r="K31" s="110" t="n">
        <v>6000</v>
      </c>
      <c r="L31" s="110" t="n">
        <v>0</v>
      </c>
      <c r="M31" s="110" t="n">
        <v>4300</v>
      </c>
      <c r="N31" s="110" t="n">
        <v>0</v>
      </c>
      <c r="O31" s="36" t="n">
        <f aca="false">SUM(C31:N31)</f>
        <v>31800</v>
      </c>
    </row>
    <row r="32" customFormat="false" ht="15" hidden="false" customHeight="false" outlineLevel="0" collapsed="false">
      <c r="A32" s="0" t="s">
        <v>733</v>
      </c>
      <c r="B32" s="57" t="s">
        <v>2158</v>
      </c>
      <c r="C32" s="110" t="n">
        <v>854.31</v>
      </c>
      <c r="D32" s="110" t="n">
        <v>259.74</v>
      </c>
      <c r="E32" s="110" t="n">
        <v>1036.06</v>
      </c>
      <c r="F32" s="110" t="n">
        <v>153.3</v>
      </c>
      <c r="G32" s="110" t="n">
        <v>330.62</v>
      </c>
      <c r="H32" s="110" t="n">
        <v>666.84</v>
      </c>
      <c r="I32" s="110" t="n">
        <v>0</v>
      </c>
      <c r="J32" s="110" t="n">
        <v>0</v>
      </c>
      <c r="K32" s="110" t="n">
        <v>1033.28</v>
      </c>
      <c r="L32" s="110" t="n">
        <v>183.12</v>
      </c>
      <c r="M32" s="110" t="n">
        <v>391.38</v>
      </c>
      <c r="N32" s="110" t="n">
        <v>0</v>
      </c>
      <c r="O32" s="36" t="n">
        <f aca="false">SUM(C32:N32)</f>
        <v>4908.65</v>
      </c>
    </row>
    <row r="33" customFormat="false" ht="15" hidden="false" customHeight="false" outlineLevel="0" collapsed="false">
      <c r="A33" s="0" t="s">
        <v>734</v>
      </c>
      <c r="B33" s="57" t="s">
        <v>2159</v>
      </c>
      <c r="C33" s="110" t="n">
        <v>553.74</v>
      </c>
      <c r="D33" s="110" t="n">
        <v>193.07</v>
      </c>
      <c r="E33" s="110" t="n">
        <v>425.53</v>
      </c>
      <c r="F33" s="110" t="n">
        <v>144</v>
      </c>
      <c r="G33" s="110" t="n">
        <v>174.49</v>
      </c>
      <c r="H33" s="110" t="n">
        <v>362.78</v>
      </c>
      <c r="I33" s="110" t="n">
        <v>0</v>
      </c>
      <c r="J33" s="110" t="n">
        <v>0</v>
      </c>
      <c r="K33" s="110" t="n">
        <v>372.35</v>
      </c>
      <c r="L33" s="110" t="n">
        <v>234.45</v>
      </c>
      <c r="M33" s="110" t="n">
        <v>368.34</v>
      </c>
      <c r="N33" s="110" t="n">
        <v>0</v>
      </c>
      <c r="O33" s="36" t="n">
        <f aca="false">SUM(C33:N33)</f>
        <v>2828.75</v>
      </c>
    </row>
    <row r="34" customFormat="false" ht="15" hidden="false" customHeight="false" outlineLevel="0" collapsed="false">
      <c r="A34" s="0" t="s">
        <v>735</v>
      </c>
      <c r="B34" s="57" t="s">
        <v>2160</v>
      </c>
      <c r="C34" s="110" t="n">
        <v>0</v>
      </c>
      <c r="D34" s="110" t="n">
        <v>0</v>
      </c>
      <c r="E34" s="110" t="n">
        <v>0</v>
      </c>
      <c r="F34" s="110" t="n">
        <v>0</v>
      </c>
      <c r="G34" s="110" t="n">
        <v>0</v>
      </c>
      <c r="H34" s="110" t="n">
        <v>0</v>
      </c>
      <c r="I34" s="110" t="n">
        <v>0</v>
      </c>
      <c r="J34" s="110" t="n">
        <v>0</v>
      </c>
      <c r="K34" s="110" t="n">
        <v>0</v>
      </c>
      <c r="L34" s="110" t="n">
        <v>0</v>
      </c>
      <c r="M34" s="110" t="n">
        <v>0</v>
      </c>
      <c r="N34" s="110" t="n">
        <v>0</v>
      </c>
      <c r="O34" s="36" t="n">
        <f aca="false">SUM(C34:N34)</f>
        <v>0</v>
      </c>
    </row>
    <row r="35" customFormat="false" ht="15" hidden="false" customHeight="false" outlineLevel="0" collapsed="false">
      <c r="A35" s="0" t="s">
        <v>736</v>
      </c>
      <c r="B35" s="57" t="s">
        <v>2161</v>
      </c>
      <c r="C35" s="110" t="n">
        <v>0</v>
      </c>
      <c r="D35" s="110" t="n">
        <v>0</v>
      </c>
      <c r="E35" s="110" t="n">
        <v>0</v>
      </c>
      <c r="F35" s="110" t="n">
        <v>-4293.69</v>
      </c>
      <c r="G35" s="110" t="n">
        <v>0</v>
      </c>
      <c r="H35" s="110" t="n">
        <v>0</v>
      </c>
      <c r="I35" s="110" t="n">
        <v>0</v>
      </c>
      <c r="J35" s="110" t="n">
        <v>0</v>
      </c>
      <c r="K35" s="110" t="n">
        <v>0</v>
      </c>
      <c r="L35" s="110" t="n">
        <v>0</v>
      </c>
      <c r="M35" s="110" t="n">
        <v>0</v>
      </c>
      <c r="N35" s="110" t="n">
        <v>0</v>
      </c>
      <c r="O35" s="36" t="n">
        <f aca="false">SUM(C35:N35)</f>
        <v>-4293.69</v>
      </c>
    </row>
    <row r="36" customFormat="false" ht="15" hidden="false" customHeight="false" outlineLevel="0" collapsed="false">
      <c r="A36" s="0" t="s">
        <v>737</v>
      </c>
      <c r="B36" s="57" t="s">
        <v>2162</v>
      </c>
      <c r="C36" s="110" t="n">
        <v>107293.2</v>
      </c>
      <c r="D36" s="110" t="n">
        <v>107746.01</v>
      </c>
      <c r="E36" s="110" t="n">
        <v>114207.6</v>
      </c>
      <c r="F36" s="110" t="n">
        <v>110211.21</v>
      </c>
      <c r="G36" s="110" t="n">
        <v>115116.32</v>
      </c>
      <c r="H36" s="110" t="n">
        <v>116145.94</v>
      </c>
      <c r="I36" s="110" t="n">
        <v>120945.94</v>
      </c>
      <c r="J36" s="110" t="n">
        <v>120945.94</v>
      </c>
      <c r="K36" s="110" t="n">
        <v>128351.57</v>
      </c>
      <c r="L36" s="110" t="n">
        <v>128769.14</v>
      </c>
      <c r="M36" s="110" t="n">
        <v>133828.86</v>
      </c>
      <c r="N36" s="110" t="n">
        <v>133828.86</v>
      </c>
    </row>
    <row r="37" customFormat="false" ht="15" hidden="false" customHeight="false" outlineLevel="0" collapsed="false">
      <c r="A37" s="0" t="s">
        <v>739</v>
      </c>
      <c r="B37" s="57" t="s">
        <v>2163</v>
      </c>
      <c r="C37" s="139" t="n">
        <v>1</v>
      </c>
      <c r="D37" s="139" t="n">
        <v>0</v>
      </c>
      <c r="E37" s="139" t="n">
        <v>1</v>
      </c>
      <c r="F37" s="139" t="n">
        <v>0</v>
      </c>
      <c r="G37" s="139" t="n">
        <v>1</v>
      </c>
      <c r="H37" s="139" t="n">
        <v>0</v>
      </c>
      <c r="I37" s="139" t="n">
        <v>1</v>
      </c>
      <c r="J37" s="139" t="n">
        <v>0</v>
      </c>
      <c r="K37" s="139" t="n">
        <v>1</v>
      </c>
      <c r="L37" s="139" t="n">
        <v>0</v>
      </c>
      <c r="M37" s="139" t="n">
        <v>1</v>
      </c>
      <c r="N37" s="139" t="n">
        <v>0</v>
      </c>
      <c r="O37" s="38" t="n">
        <f aca="false">SUM(C37:N37)</f>
        <v>6</v>
      </c>
    </row>
    <row r="38" customFormat="false" ht="15" hidden="false" customHeight="false" outlineLevel="0" collapsed="false">
      <c r="A38" s="0" t="s">
        <v>740</v>
      </c>
      <c r="B38" s="57" t="s">
        <v>2164</v>
      </c>
      <c r="C38" s="139" t="n">
        <v>0</v>
      </c>
      <c r="D38" s="139" t="n">
        <v>0</v>
      </c>
      <c r="E38" s="139" t="n">
        <v>0</v>
      </c>
      <c r="F38" s="139" t="n">
        <v>-1</v>
      </c>
      <c r="G38" s="139" t="n">
        <v>0</v>
      </c>
      <c r="H38" s="139" t="n">
        <v>0</v>
      </c>
      <c r="I38" s="139" t="n">
        <v>0</v>
      </c>
      <c r="J38" s="139" t="n">
        <v>0</v>
      </c>
      <c r="K38" s="139" t="n">
        <v>0</v>
      </c>
      <c r="L38" s="139" t="n">
        <v>0</v>
      </c>
      <c r="M38" s="139" t="n">
        <v>0</v>
      </c>
      <c r="N38" s="139" t="n">
        <v>0</v>
      </c>
      <c r="O38" s="38" t="n">
        <f aca="false">SUM(C38:N38)</f>
        <v>-1</v>
      </c>
    </row>
    <row r="39" customFormat="false" ht="15" hidden="false" customHeight="false" outlineLevel="0" collapsed="false">
      <c r="A39" s="0" t="s">
        <v>2141</v>
      </c>
      <c r="B39" s="57" t="s">
        <v>2165</v>
      </c>
      <c r="C39" s="139" t="n">
        <v>16</v>
      </c>
      <c r="D39" s="139" t="n">
        <v>16</v>
      </c>
      <c r="E39" s="139" t="n">
        <v>17</v>
      </c>
      <c r="F39" s="139" t="n">
        <v>16</v>
      </c>
      <c r="G39" s="139" t="n">
        <v>17</v>
      </c>
      <c r="H39" s="139" t="n">
        <v>17</v>
      </c>
      <c r="I39" s="139" t="n">
        <v>18</v>
      </c>
      <c r="J39" s="139" t="n">
        <v>18</v>
      </c>
      <c r="K39" s="139" t="n">
        <v>19</v>
      </c>
      <c r="L39" s="139" t="n">
        <v>19</v>
      </c>
      <c r="M39" s="139" t="n">
        <v>20</v>
      </c>
      <c r="N39" s="139" t="n">
        <v>20</v>
      </c>
    </row>
    <row r="40" customFormat="false" ht="15" hidden="false" customHeight="false" outlineLevel="0" collapsed="false">
      <c r="A40" s="0" t="s">
        <v>1035</v>
      </c>
      <c r="B40" s="57" t="s">
        <v>2166</v>
      </c>
      <c r="C40" s="110" t="n">
        <v>18000</v>
      </c>
      <c r="D40" s="110" t="n">
        <v>0</v>
      </c>
      <c r="E40" s="110" t="n">
        <v>12000</v>
      </c>
      <c r="F40" s="110" t="n">
        <v>0</v>
      </c>
      <c r="G40" s="110" t="n">
        <v>11000</v>
      </c>
      <c r="H40" s="110" t="n">
        <v>0</v>
      </c>
      <c r="I40" s="110" t="n">
        <v>12000</v>
      </c>
      <c r="J40" s="110" t="n">
        <v>0</v>
      </c>
      <c r="K40" s="110" t="n">
        <v>15000</v>
      </c>
      <c r="L40" s="110" t="n">
        <v>0</v>
      </c>
      <c r="M40" s="110" t="n">
        <v>11000</v>
      </c>
      <c r="N40" s="110" t="n">
        <v>0</v>
      </c>
      <c r="O40" s="36" t="n">
        <f aca="false">SUM(C40:N40)</f>
        <v>79000</v>
      </c>
    </row>
    <row r="41" customFormat="false" ht="15" hidden="false" customHeight="false" outlineLevel="0" collapsed="false">
      <c r="A41" s="22" t="s">
        <v>2167</v>
      </c>
      <c r="B41" s="23"/>
      <c r="C41" s="23"/>
      <c r="D41" s="23"/>
      <c r="E41" s="23"/>
      <c r="F41" s="23"/>
      <c r="G41" s="23"/>
      <c r="H41" s="23"/>
      <c r="I41" s="23"/>
      <c r="J41" s="23"/>
      <c r="K41" s="23"/>
      <c r="L41" s="23"/>
      <c r="M41" s="23"/>
      <c r="N41" s="23"/>
      <c r="O41" s="23"/>
    </row>
    <row r="42" customFormat="false" ht="15" hidden="false" customHeight="false" outlineLevel="0" collapsed="false">
      <c r="A42" s="0" t="s">
        <v>348</v>
      </c>
      <c r="B42" s="57" t="s">
        <v>2168</v>
      </c>
      <c r="C42" s="110" t="n">
        <v>377750.03</v>
      </c>
      <c r="D42" s="110" t="n">
        <v>387366.89</v>
      </c>
      <c r="E42" s="110" t="n">
        <v>403859.99</v>
      </c>
      <c r="F42" s="110" t="n">
        <v>404035.13</v>
      </c>
      <c r="G42" s="110" t="n">
        <v>418188.06</v>
      </c>
      <c r="H42" s="110" t="n">
        <v>421217.41</v>
      </c>
      <c r="I42" s="110" t="n">
        <v>435556.62</v>
      </c>
      <c r="J42" s="110" t="n">
        <v>441196.8</v>
      </c>
      <c r="K42" s="110" t="n">
        <v>447150.23</v>
      </c>
      <c r="L42" s="110" t="n">
        <v>448080.84</v>
      </c>
      <c r="M42" s="110" t="n">
        <v>459772.94</v>
      </c>
      <c r="N42" s="110" t="n">
        <v>467030.59</v>
      </c>
      <c r="O42" s="36" t="n">
        <f aca="false">SUM(C42:N42)</f>
        <v>5111205.53</v>
      </c>
    </row>
    <row r="43" customFormat="false" ht="15" hidden="false" customHeight="false" outlineLevel="0" collapsed="false">
      <c r="A43" s="0" t="s">
        <v>350</v>
      </c>
      <c r="B43" s="57" t="s">
        <v>2169</v>
      </c>
      <c r="C43" s="110" t="n">
        <v>-118000</v>
      </c>
      <c r="D43" s="110" t="n">
        <v>-96000</v>
      </c>
      <c r="E43" s="110" t="n">
        <v>-101000</v>
      </c>
      <c r="F43" s="110" t="n">
        <v>-108000</v>
      </c>
      <c r="G43" s="110" t="n">
        <v>-104000</v>
      </c>
      <c r="H43" s="110" t="n">
        <v>-121000</v>
      </c>
      <c r="I43" s="110" t="n">
        <v>-127000</v>
      </c>
      <c r="J43" s="110" t="n">
        <v>-99000</v>
      </c>
      <c r="K43" s="110" t="n">
        <v>-112000</v>
      </c>
      <c r="L43" s="110" t="n">
        <v>-109000</v>
      </c>
      <c r="M43" s="110" t="n">
        <v>-104000</v>
      </c>
      <c r="N43" s="110" t="n">
        <v>-131000</v>
      </c>
      <c r="O43" s="36" t="n">
        <f aca="false">SUM(C43:N43)</f>
        <v>-1330000</v>
      </c>
    </row>
    <row r="44" customFormat="false" ht="15" hidden="false" customHeight="false" outlineLevel="0" collapsed="false">
      <c r="A44" s="0" t="s">
        <v>2170</v>
      </c>
      <c r="B44" s="57" t="s">
        <v>2171</v>
      </c>
      <c r="C44" s="110" t="n">
        <v>262000</v>
      </c>
      <c r="D44" s="110" t="n">
        <v>-214000</v>
      </c>
      <c r="E44" s="110" t="n">
        <v>-198000</v>
      </c>
      <c r="F44" s="110" t="n">
        <v>-236000</v>
      </c>
      <c r="G44" s="110" t="n">
        <v>-205000</v>
      </c>
      <c r="H44" s="110" t="n">
        <v>-241000</v>
      </c>
      <c r="I44" s="110" t="n">
        <v>-228000</v>
      </c>
      <c r="J44" s="110" t="n">
        <v>-176000</v>
      </c>
      <c r="K44" s="110" t="n">
        <v>-219000</v>
      </c>
      <c r="L44" s="110" t="n">
        <v>-209000</v>
      </c>
      <c r="M44" s="110" t="n">
        <v>-187000</v>
      </c>
      <c r="N44" s="110" t="n">
        <v>-262000</v>
      </c>
      <c r="O44" s="36" t="n">
        <f aca="false">SUM(C44:N44)</f>
        <v>-2113000</v>
      </c>
    </row>
    <row r="46" customFormat="false" ht="15" hidden="false" customHeight="false" outlineLevel="0" collapsed="false">
      <c r="A46" s="22" t="s">
        <v>2172</v>
      </c>
      <c r="B46" s="23"/>
      <c r="C46" s="23"/>
      <c r="D46" s="23"/>
      <c r="E46" s="23"/>
      <c r="F46" s="23"/>
      <c r="G46" s="23"/>
      <c r="H46" s="23"/>
      <c r="I46" s="23"/>
      <c r="J46" s="23"/>
      <c r="K46" s="23"/>
      <c r="L46" s="23"/>
      <c r="M46" s="23"/>
      <c r="N46" s="23"/>
      <c r="O46" s="23"/>
    </row>
    <row r="47" customFormat="false" ht="30" hidden="false" customHeight="true" outlineLevel="0" collapsed="false">
      <c r="A47" s="26" t="s">
        <v>2173</v>
      </c>
      <c r="B47" s="27" t="s">
        <v>2117</v>
      </c>
      <c r="C47" s="27" t="s">
        <v>2174</v>
      </c>
      <c r="D47" s="27" t="s">
        <v>1472</v>
      </c>
      <c r="E47" s="27" t="s">
        <v>2175</v>
      </c>
      <c r="F47" s="27" t="s">
        <v>2176</v>
      </c>
    </row>
    <row r="48" customFormat="false" ht="15" hidden="false" customHeight="false" outlineLevel="0" collapsed="false">
      <c r="A48" s="0" t="s">
        <v>789</v>
      </c>
      <c r="B48" s="57" t="s">
        <v>2177</v>
      </c>
      <c r="C48" s="127" t="s">
        <v>2178</v>
      </c>
      <c r="D48" s="0" t="n">
        <v>-35</v>
      </c>
      <c r="E48" s="136" t="n">
        <v>68644.97</v>
      </c>
      <c r="F48" s="139" t="n">
        <v>297</v>
      </c>
    </row>
    <row r="49" customFormat="false" ht="15" hidden="false" customHeight="false" outlineLevel="0" collapsed="false">
      <c r="A49" s="0" t="s">
        <v>873</v>
      </c>
      <c r="B49" s="57" t="s">
        <v>2179</v>
      </c>
      <c r="C49" s="127" t="s">
        <v>2178</v>
      </c>
      <c r="D49" s="0" t="n">
        <v>-23</v>
      </c>
      <c r="E49" s="136" t="n">
        <v>3267.55</v>
      </c>
      <c r="F49" s="139" t="n">
        <v>14</v>
      </c>
    </row>
    <row r="50" customFormat="false" ht="15" hidden="false" customHeight="false" outlineLevel="0" collapsed="false">
      <c r="A50" s="0" t="s">
        <v>874</v>
      </c>
      <c r="B50" s="57" t="s">
        <v>2180</v>
      </c>
      <c r="C50" s="127" t="s">
        <v>2178</v>
      </c>
      <c r="D50" s="0" t="n">
        <v>-22</v>
      </c>
      <c r="E50" s="136" t="n">
        <v>4626.73</v>
      </c>
      <c r="F50" s="139" t="n">
        <v>17</v>
      </c>
    </row>
    <row r="51" customFormat="false" ht="15" hidden="false" customHeight="false" outlineLevel="0" collapsed="false">
      <c r="A51" s="0" t="s">
        <v>875</v>
      </c>
      <c r="B51" s="57" t="s">
        <v>2181</v>
      </c>
      <c r="C51" s="127" t="s">
        <v>2178</v>
      </c>
      <c r="D51" s="0" t="n">
        <v>-21</v>
      </c>
      <c r="E51" s="136" t="n">
        <v>3565.93</v>
      </c>
      <c r="F51" s="139" t="n">
        <v>14</v>
      </c>
    </row>
    <row r="52" customFormat="false" ht="15" hidden="false" customHeight="false" outlineLevel="0" collapsed="false">
      <c r="A52" s="0" t="s">
        <v>876</v>
      </c>
      <c r="B52" s="57" t="s">
        <v>2182</v>
      </c>
      <c r="C52" s="127" t="s">
        <v>2178</v>
      </c>
      <c r="D52" s="0" t="n">
        <v>-20</v>
      </c>
      <c r="E52" s="136" t="n">
        <v>3403.97</v>
      </c>
      <c r="F52" s="139" t="n">
        <v>15</v>
      </c>
    </row>
    <row r="53" customFormat="false" ht="15" hidden="false" customHeight="false" outlineLevel="0" collapsed="false">
      <c r="A53" s="0" t="s">
        <v>877</v>
      </c>
      <c r="B53" s="57" t="s">
        <v>2183</v>
      </c>
      <c r="C53" s="127" t="s">
        <v>2178</v>
      </c>
      <c r="D53" s="0" t="n">
        <v>-19</v>
      </c>
      <c r="E53" s="136" t="n">
        <v>2401.72</v>
      </c>
      <c r="F53" s="139" t="n">
        <v>10</v>
      </c>
    </row>
    <row r="54" customFormat="false" ht="15" hidden="false" customHeight="false" outlineLevel="0" collapsed="false">
      <c r="A54" s="0" t="s">
        <v>878</v>
      </c>
      <c r="B54" s="57" t="s">
        <v>2184</v>
      </c>
      <c r="C54" s="127" t="s">
        <v>2178</v>
      </c>
      <c r="D54" s="0" t="n">
        <v>-18</v>
      </c>
      <c r="E54" s="136" t="n">
        <v>1902.98</v>
      </c>
      <c r="F54" s="139" t="n">
        <v>8</v>
      </c>
    </row>
    <row r="55" customFormat="false" ht="15" hidden="false" customHeight="false" outlineLevel="0" collapsed="false">
      <c r="A55" s="0" t="s">
        <v>879</v>
      </c>
      <c r="B55" s="57" t="s">
        <v>2185</v>
      </c>
      <c r="C55" s="127" t="s">
        <v>2178</v>
      </c>
      <c r="D55" s="0" t="n">
        <v>-17</v>
      </c>
      <c r="E55" s="136" t="n">
        <v>3941.98</v>
      </c>
      <c r="F55" s="139" t="n">
        <v>17</v>
      </c>
    </row>
    <row r="56" customFormat="false" ht="15" hidden="false" customHeight="false" outlineLevel="0" collapsed="false">
      <c r="A56" s="0" t="s">
        <v>880</v>
      </c>
      <c r="B56" s="57" t="s">
        <v>2186</v>
      </c>
      <c r="C56" s="127" t="s">
        <v>2178</v>
      </c>
      <c r="D56" s="0" t="n">
        <v>-16</v>
      </c>
      <c r="E56" s="136" t="n">
        <v>2201.51</v>
      </c>
      <c r="F56" s="139" t="n">
        <v>10</v>
      </c>
    </row>
    <row r="57" customFormat="false" ht="15" hidden="false" customHeight="false" outlineLevel="0" collapsed="false">
      <c r="A57" s="0" t="s">
        <v>881</v>
      </c>
      <c r="B57" s="57" t="s">
        <v>2187</v>
      </c>
      <c r="C57" s="127" t="s">
        <v>2178</v>
      </c>
      <c r="D57" s="0" t="n">
        <v>-15</v>
      </c>
      <c r="E57" s="136" t="n">
        <v>3784.37</v>
      </c>
      <c r="F57" s="139" t="n">
        <v>17</v>
      </c>
    </row>
    <row r="58" customFormat="false" ht="15" hidden="false" customHeight="false" outlineLevel="0" collapsed="false">
      <c r="A58" s="0" t="s">
        <v>882</v>
      </c>
      <c r="B58" s="57" t="s">
        <v>2188</v>
      </c>
      <c r="C58" s="127" t="s">
        <v>2178</v>
      </c>
      <c r="D58" s="0" t="n">
        <v>-14</v>
      </c>
      <c r="E58" s="136" t="n">
        <v>3948.9</v>
      </c>
      <c r="F58" s="139" t="n">
        <v>18</v>
      </c>
    </row>
    <row r="59" customFormat="false" ht="15" hidden="false" customHeight="false" outlineLevel="0" collapsed="false">
      <c r="A59" s="0" t="s">
        <v>883</v>
      </c>
      <c r="B59" s="57" t="s">
        <v>2189</v>
      </c>
      <c r="C59" s="127" t="s">
        <v>2178</v>
      </c>
      <c r="D59" s="0" t="n">
        <v>-13</v>
      </c>
      <c r="E59" s="136" t="n">
        <v>3488.13</v>
      </c>
      <c r="F59" s="139" t="n">
        <v>14</v>
      </c>
    </row>
    <row r="60" customFormat="false" ht="15" hidden="false" customHeight="false" outlineLevel="0" collapsed="false">
      <c r="A60" s="0" t="s">
        <v>884</v>
      </c>
      <c r="B60" s="57" t="s">
        <v>2190</v>
      </c>
      <c r="C60" s="127" t="s">
        <v>2178</v>
      </c>
      <c r="D60" s="0" t="n">
        <v>-12</v>
      </c>
      <c r="E60" s="136" t="n">
        <v>2519.79</v>
      </c>
      <c r="F60" s="139" t="n">
        <v>11</v>
      </c>
    </row>
    <row r="61" customFormat="false" ht="15" hidden="false" customHeight="false" outlineLevel="0" collapsed="false">
      <c r="A61" s="0" t="s">
        <v>885</v>
      </c>
      <c r="B61" s="57" t="s">
        <v>2191</v>
      </c>
      <c r="C61" s="127" t="s">
        <v>2178</v>
      </c>
      <c r="D61" s="0" t="n">
        <v>-11</v>
      </c>
      <c r="E61" s="136" t="n">
        <v>5904.52</v>
      </c>
      <c r="F61" s="139" t="n">
        <v>25</v>
      </c>
    </row>
    <row r="62" customFormat="false" ht="15" hidden="false" customHeight="false" outlineLevel="0" collapsed="false">
      <c r="A62" s="0" t="s">
        <v>886</v>
      </c>
      <c r="B62" s="57" t="s">
        <v>2192</v>
      </c>
      <c r="C62" s="127" t="s">
        <v>2178</v>
      </c>
      <c r="D62" s="0" t="n">
        <v>-10</v>
      </c>
      <c r="E62" s="136" t="n">
        <v>9269.74</v>
      </c>
      <c r="F62" s="139" t="n">
        <v>42</v>
      </c>
    </row>
    <row r="63" customFormat="false" ht="15" hidden="false" customHeight="false" outlineLevel="0" collapsed="false">
      <c r="A63" s="0" t="s">
        <v>887</v>
      </c>
      <c r="B63" s="57" t="s">
        <v>2193</v>
      </c>
      <c r="C63" s="127" t="s">
        <v>2178</v>
      </c>
      <c r="D63" s="0" t="n">
        <v>-9</v>
      </c>
      <c r="E63" s="136" t="n">
        <v>3340.8</v>
      </c>
      <c r="F63" s="139" t="n">
        <v>16</v>
      </c>
    </row>
    <row r="64" customFormat="false" ht="15" hidden="false" customHeight="false" outlineLevel="0" collapsed="false">
      <c r="A64" s="0" t="s">
        <v>888</v>
      </c>
      <c r="B64" s="57" t="s">
        <v>2194</v>
      </c>
      <c r="C64" s="127" t="s">
        <v>2178</v>
      </c>
      <c r="D64" s="0" t="n">
        <v>-8</v>
      </c>
      <c r="E64" s="136" t="n">
        <v>3770.73</v>
      </c>
      <c r="F64" s="139" t="n">
        <v>17</v>
      </c>
    </row>
    <row r="65" customFormat="false" ht="15" hidden="false" customHeight="false" outlineLevel="0" collapsed="false">
      <c r="A65" s="0" t="s">
        <v>889</v>
      </c>
      <c r="B65" s="57" t="s">
        <v>2195</v>
      </c>
      <c r="C65" s="127" t="s">
        <v>2178</v>
      </c>
      <c r="D65" s="0" t="n">
        <v>-7</v>
      </c>
      <c r="E65" s="136" t="n">
        <v>3996.15</v>
      </c>
      <c r="F65" s="139" t="n">
        <v>19</v>
      </c>
    </row>
    <row r="66" customFormat="false" ht="15" hidden="false" customHeight="false" outlineLevel="0" collapsed="false">
      <c r="A66" s="0" t="s">
        <v>890</v>
      </c>
      <c r="B66" s="57" t="s">
        <v>2196</v>
      </c>
      <c r="C66" s="127" t="s">
        <v>2178</v>
      </c>
      <c r="D66" s="0" t="n">
        <v>-6</v>
      </c>
      <c r="E66" s="136" t="n">
        <v>4808.44</v>
      </c>
      <c r="F66" s="139" t="n">
        <v>22</v>
      </c>
    </row>
    <row r="67" customFormat="false" ht="15" hidden="false" customHeight="false" outlineLevel="0" collapsed="false">
      <c r="A67" s="0" t="s">
        <v>891</v>
      </c>
      <c r="B67" s="57" t="s">
        <v>2197</v>
      </c>
      <c r="C67" s="127" t="s">
        <v>2178</v>
      </c>
      <c r="D67" s="0" t="n">
        <v>-5</v>
      </c>
      <c r="E67" s="136" t="n">
        <v>5284.15</v>
      </c>
      <c r="F67" s="139" t="n">
        <v>24</v>
      </c>
    </row>
    <row r="68" customFormat="false" ht="15" hidden="false" customHeight="false" outlineLevel="0" collapsed="false">
      <c r="A68" s="0" t="s">
        <v>892</v>
      </c>
      <c r="B68" s="57" t="s">
        <v>2198</v>
      </c>
      <c r="C68" s="127" t="s">
        <v>2178</v>
      </c>
      <c r="D68" s="0" t="n">
        <v>-4</v>
      </c>
      <c r="E68" s="136" t="n">
        <v>3800.62</v>
      </c>
      <c r="F68" s="139" t="n">
        <v>18</v>
      </c>
    </row>
    <row r="69" customFormat="false" ht="15" hidden="false" customHeight="false" outlineLevel="0" collapsed="false">
      <c r="A69" s="0" t="s">
        <v>893</v>
      </c>
      <c r="B69" s="57" t="s">
        <v>2199</v>
      </c>
      <c r="C69" s="127" t="s">
        <v>2178</v>
      </c>
      <c r="D69" s="0" t="n">
        <v>-3</v>
      </c>
      <c r="E69" s="136" t="n">
        <v>1066.69</v>
      </c>
      <c r="F69" s="139" t="n">
        <v>5</v>
      </c>
    </row>
    <row r="70" customFormat="false" ht="15" hidden="false" customHeight="false" outlineLevel="0" collapsed="false">
      <c r="A70" s="0" t="s">
        <v>894</v>
      </c>
      <c r="B70" s="57" t="s">
        <v>2200</v>
      </c>
      <c r="C70" s="127" t="s">
        <v>2178</v>
      </c>
      <c r="D70" s="0" t="n">
        <v>-2</v>
      </c>
      <c r="E70" s="136" t="n">
        <v>5585.42</v>
      </c>
      <c r="F70" s="139" t="n">
        <v>29</v>
      </c>
    </row>
    <row r="71" customFormat="false" ht="15" hidden="false" customHeight="false" outlineLevel="0" collapsed="false">
      <c r="A71" s="0" t="s">
        <v>895</v>
      </c>
      <c r="B71" s="57" t="s">
        <v>2201</v>
      </c>
      <c r="C71" s="127" t="s">
        <v>2178</v>
      </c>
      <c r="D71" s="0" t="n">
        <v>-1</v>
      </c>
      <c r="E71" s="136" t="n">
        <v>4292.49</v>
      </c>
      <c r="F71" s="139" t="n">
        <v>24</v>
      </c>
    </row>
    <row r="72" customFormat="false" ht="15" hidden="false" customHeight="false" outlineLevel="0" collapsed="false">
      <c r="A72" s="0" t="s">
        <v>896</v>
      </c>
      <c r="B72" s="57" t="s">
        <v>2202</v>
      </c>
      <c r="C72" s="127" t="s">
        <v>2178</v>
      </c>
      <c r="D72" s="0" t="n">
        <v>0</v>
      </c>
      <c r="E72" s="136" t="n">
        <v>5400.55</v>
      </c>
      <c r="F72" s="139" t="n">
        <v>25</v>
      </c>
    </row>
    <row r="73" customFormat="false" ht="15" hidden="false" customHeight="false" outlineLevel="0" collapsed="false">
      <c r="A73" s="0" t="s">
        <v>936</v>
      </c>
      <c r="B73" s="57" t="s">
        <v>2203</v>
      </c>
      <c r="C73" s="127" t="s">
        <v>2204</v>
      </c>
      <c r="D73" s="0" t="n">
        <v>-35</v>
      </c>
      <c r="E73" s="136" t="n">
        <v>13704.96</v>
      </c>
      <c r="F73" s="139" t="n">
        <v>12</v>
      </c>
    </row>
    <row r="74" customFormat="false" ht="15" hidden="false" customHeight="false" outlineLevel="0" collapsed="false">
      <c r="A74" s="0" t="s">
        <v>938</v>
      </c>
      <c r="B74" s="57" t="s">
        <v>2205</v>
      </c>
      <c r="C74" s="127" t="s">
        <v>2204</v>
      </c>
      <c r="D74" s="0" t="n">
        <v>-34</v>
      </c>
      <c r="E74" s="136" t="n">
        <v>8436.79</v>
      </c>
      <c r="F74" s="139" t="n">
        <v>8</v>
      </c>
    </row>
    <row r="75" customFormat="false" ht="15" hidden="false" customHeight="false" outlineLevel="0" collapsed="false">
      <c r="A75" s="0" t="s">
        <v>939</v>
      </c>
      <c r="B75" s="57" t="s">
        <v>2206</v>
      </c>
      <c r="C75" s="127" t="s">
        <v>2204</v>
      </c>
      <c r="D75" s="0" t="n">
        <v>-33</v>
      </c>
      <c r="E75" s="136" t="n">
        <v>8777.9</v>
      </c>
      <c r="F75" s="139" t="n">
        <v>7</v>
      </c>
    </row>
    <row r="76" customFormat="false" ht="15" hidden="false" customHeight="false" outlineLevel="0" collapsed="false">
      <c r="A76" s="0" t="s">
        <v>940</v>
      </c>
      <c r="B76" s="57" t="s">
        <v>2207</v>
      </c>
      <c r="C76" s="127" t="s">
        <v>2204</v>
      </c>
      <c r="D76" s="0" t="n">
        <v>-32</v>
      </c>
      <c r="E76" s="136" t="n">
        <v>7309.55</v>
      </c>
      <c r="F76" s="139" t="n">
        <v>7</v>
      </c>
    </row>
    <row r="77" customFormat="false" ht="15" hidden="false" customHeight="false" outlineLevel="0" collapsed="false">
      <c r="A77" s="0" t="s">
        <v>941</v>
      </c>
      <c r="B77" s="57" t="s">
        <v>2208</v>
      </c>
      <c r="C77" s="127" t="s">
        <v>2204</v>
      </c>
      <c r="D77" s="0" t="n">
        <v>-31</v>
      </c>
      <c r="E77" s="136" t="n">
        <v>7887.45</v>
      </c>
      <c r="F77" s="139" t="n">
        <v>7</v>
      </c>
    </row>
    <row r="78" customFormat="false" ht="15" hidden="false" customHeight="false" outlineLevel="0" collapsed="false">
      <c r="A78" s="0" t="s">
        <v>942</v>
      </c>
      <c r="B78" s="57" t="s">
        <v>2209</v>
      </c>
      <c r="C78" s="127" t="s">
        <v>2204</v>
      </c>
      <c r="D78" s="0" t="n">
        <v>-30</v>
      </c>
      <c r="E78" s="136" t="n">
        <v>5615.31</v>
      </c>
      <c r="F78" s="139" t="n">
        <v>5</v>
      </c>
    </row>
    <row r="79" customFormat="false" ht="15" hidden="false" customHeight="false" outlineLevel="0" collapsed="false">
      <c r="A79" s="0" t="s">
        <v>943</v>
      </c>
      <c r="B79" s="57" t="s">
        <v>2210</v>
      </c>
      <c r="C79" s="127" t="s">
        <v>2204</v>
      </c>
      <c r="D79" s="0" t="n">
        <v>-29</v>
      </c>
      <c r="E79" s="136" t="n">
        <v>5281.16</v>
      </c>
      <c r="F79" s="139" t="n">
        <v>4</v>
      </c>
    </row>
    <row r="80" customFormat="false" ht="15" hidden="false" customHeight="false" outlineLevel="0" collapsed="false">
      <c r="A80" s="0" t="s">
        <v>944</v>
      </c>
      <c r="B80" s="57" t="s">
        <v>2211</v>
      </c>
      <c r="C80" s="127" t="s">
        <v>2204</v>
      </c>
      <c r="D80" s="0" t="n">
        <v>-28</v>
      </c>
      <c r="E80" s="136" t="n">
        <v>4351.61</v>
      </c>
      <c r="F80" s="139" t="n">
        <v>4</v>
      </c>
    </row>
    <row r="81" customFormat="false" ht="15" hidden="false" customHeight="false" outlineLevel="0" collapsed="false">
      <c r="A81" s="0" t="s">
        <v>945</v>
      </c>
      <c r="B81" s="57" t="s">
        <v>2212</v>
      </c>
      <c r="C81" s="127" t="s">
        <v>2204</v>
      </c>
      <c r="D81" s="0" t="n">
        <v>-27</v>
      </c>
      <c r="E81" s="136" t="n">
        <v>5645.98</v>
      </c>
      <c r="F81" s="139" t="n">
        <v>5</v>
      </c>
    </row>
    <row r="82" customFormat="false" ht="15" hidden="false" customHeight="false" outlineLevel="0" collapsed="false">
      <c r="A82" s="0" t="s">
        <v>946</v>
      </c>
      <c r="B82" s="57" t="s">
        <v>2213</v>
      </c>
      <c r="C82" s="127" t="s">
        <v>2204</v>
      </c>
      <c r="D82" s="0" t="n">
        <v>-26</v>
      </c>
      <c r="E82" s="136" t="n">
        <v>6625.68</v>
      </c>
      <c r="F82" s="139" t="n">
        <v>6</v>
      </c>
    </row>
    <row r="83" customFormat="false" ht="15" hidden="false" customHeight="false" outlineLevel="0" collapsed="false">
      <c r="A83" s="0" t="s">
        <v>947</v>
      </c>
      <c r="B83" s="57" t="s">
        <v>2214</v>
      </c>
      <c r="C83" s="127" t="s">
        <v>2204</v>
      </c>
      <c r="D83" s="0" t="n">
        <v>-25</v>
      </c>
      <c r="E83" s="136" t="n">
        <v>3148.81</v>
      </c>
      <c r="F83" s="139" t="n">
        <v>3</v>
      </c>
    </row>
    <row r="84" customFormat="false" ht="15" hidden="false" customHeight="false" outlineLevel="0" collapsed="false">
      <c r="A84" s="0" t="s">
        <v>948</v>
      </c>
      <c r="B84" s="57" t="s">
        <v>2215</v>
      </c>
      <c r="C84" s="127" t="s">
        <v>2204</v>
      </c>
      <c r="D84" s="0" t="n">
        <v>-24</v>
      </c>
      <c r="E84" s="136" t="n">
        <v>5184.82</v>
      </c>
      <c r="F84" s="139" t="n">
        <v>5</v>
      </c>
    </row>
    <row r="85" customFormat="false" ht="15" hidden="false" customHeight="false" outlineLevel="0" collapsed="false">
      <c r="A85" s="0" t="s">
        <v>873</v>
      </c>
      <c r="B85" s="57" t="s">
        <v>2216</v>
      </c>
      <c r="C85" s="127" t="s">
        <v>2204</v>
      </c>
      <c r="D85" s="0" t="n">
        <v>-23</v>
      </c>
      <c r="E85" s="136" t="n">
        <v>0</v>
      </c>
      <c r="F85" s="139" t="n">
        <v>0</v>
      </c>
    </row>
    <row r="86" customFormat="false" ht="15" hidden="false" customHeight="false" outlineLevel="0" collapsed="false">
      <c r="A86" s="0" t="s">
        <v>874</v>
      </c>
      <c r="B86" s="57" t="s">
        <v>2217</v>
      </c>
      <c r="C86" s="127" t="s">
        <v>2204</v>
      </c>
      <c r="D86" s="0" t="n">
        <v>-22</v>
      </c>
      <c r="E86" s="136" t="n">
        <v>993.5</v>
      </c>
      <c r="F86" s="139" t="n">
        <v>1</v>
      </c>
    </row>
    <row r="87" customFormat="false" ht="15" hidden="false" customHeight="false" outlineLevel="0" collapsed="false">
      <c r="A87" s="0" t="s">
        <v>875</v>
      </c>
      <c r="B87" s="57" t="s">
        <v>2218</v>
      </c>
      <c r="C87" s="127" t="s">
        <v>2204</v>
      </c>
      <c r="D87" s="0" t="n">
        <v>-21</v>
      </c>
      <c r="E87" s="136" t="n">
        <v>1005.75</v>
      </c>
      <c r="F87" s="139" t="n">
        <v>1</v>
      </c>
    </row>
    <row r="88" customFormat="false" ht="15" hidden="false" customHeight="false" outlineLevel="0" collapsed="false">
      <c r="A88" s="0" t="s">
        <v>876</v>
      </c>
      <c r="B88" s="57" t="s">
        <v>2219</v>
      </c>
      <c r="C88" s="127" t="s">
        <v>2204</v>
      </c>
      <c r="D88" s="0" t="n">
        <v>-20</v>
      </c>
      <c r="E88" s="136" t="n">
        <v>4171.48</v>
      </c>
      <c r="F88" s="139" t="n">
        <v>4</v>
      </c>
    </row>
    <row r="89" customFormat="false" ht="15" hidden="false" customHeight="false" outlineLevel="0" collapsed="false">
      <c r="A89" s="0" t="s">
        <v>877</v>
      </c>
      <c r="B89" s="57" t="s">
        <v>2220</v>
      </c>
      <c r="C89" s="127" t="s">
        <v>2204</v>
      </c>
      <c r="D89" s="0" t="n">
        <v>-19</v>
      </c>
      <c r="E89" s="136" t="n">
        <v>2632.95</v>
      </c>
      <c r="F89" s="139" t="n">
        <v>3</v>
      </c>
    </row>
    <row r="90" customFormat="false" ht="15" hidden="false" customHeight="false" outlineLevel="0" collapsed="false">
      <c r="A90" s="0" t="s">
        <v>878</v>
      </c>
      <c r="B90" s="57" t="s">
        <v>2221</v>
      </c>
      <c r="C90" s="127" t="s">
        <v>2204</v>
      </c>
      <c r="D90" s="0" t="n">
        <v>-18</v>
      </c>
      <c r="E90" s="136" t="n">
        <v>3966.8</v>
      </c>
      <c r="F90" s="139" t="n">
        <v>4</v>
      </c>
    </row>
    <row r="91" customFormat="false" ht="15" hidden="false" customHeight="false" outlineLevel="0" collapsed="false">
      <c r="A91" s="0" t="s">
        <v>879</v>
      </c>
      <c r="B91" s="57" t="s">
        <v>2222</v>
      </c>
      <c r="C91" s="127" t="s">
        <v>2204</v>
      </c>
      <c r="D91" s="0" t="n">
        <v>-17</v>
      </c>
      <c r="E91" s="136" t="n">
        <v>6005.78</v>
      </c>
      <c r="F91" s="139" t="n">
        <v>6</v>
      </c>
    </row>
    <row r="92" customFormat="false" ht="15" hidden="false" customHeight="false" outlineLevel="0" collapsed="false">
      <c r="A92" s="0" t="s">
        <v>880</v>
      </c>
      <c r="B92" s="57" t="s">
        <v>2223</v>
      </c>
      <c r="C92" s="127" t="s">
        <v>2204</v>
      </c>
      <c r="D92" s="0" t="n">
        <v>-16</v>
      </c>
      <c r="E92" s="136" t="n">
        <v>1283.83</v>
      </c>
      <c r="F92" s="139" t="n">
        <v>1</v>
      </c>
    </row>
    <row r="93" customFormat="false" ht="15" hidden="false" customHeight="false" outlineLevel="0" collapsed="false">
      <c r="A93" s="0" t="s">
        <v>881</v>
      </c>
      <c r="B93" s="57" t="s">
        <v>2224</v>
      </c>
      <c r="C93" s="127" t="s">
        <v>2204</v>
      </c>
      <c r="D93" s="0" t="n">
        <v>-15</v>
      </c>
      <c r="E93" s="136" t="n">
        <v>6131.11</v>
      </c>
      <c r="F93" s="139" t="n">
        <v>6</v>
      </c>
    </row>
    <row r="94" customFormat="false" ht="15" hidden="false" customHeight="false" outlineLevel="0" collapsed="false">
      <c r="A94" s="0" t="s">
        <v>882</v>
      </c>
      <c r="B94" s="57" t="s">
        <v>2225</v>
      </c>
      <c r="C94" s="127" t="s">
        <v>2204</v>
      </c>
      <c r="D94" s="0" t="n">
        <v>-14</v>
      </c>
      <c r="E94" s="136" t="n">
        <v>3208.46</v>
      </c>
      <c r="F94" s="139" t="n">
        <v>3</v>
      </c>
    </row>
    <row r="95" customFormat="false" ht="15" hidden="false" customHeight="false" outlineLevel="0" collapsed="false">
      <c r="A95" s="0" t="s">
        <v>883</v>
      </c>
      <c r="B95" s="57" t="s">
        <v>2226</v>
      </c>
      <c r="C95" s="127" t="s">
        <v>2204</v>
      </c>
      <c r="D95" s="0" t="n">
        <v>-13</v>
      </c>
      <c r="E95" s="136" t="n">
        <v>4085.78</v>
      </c>
      <c r="F95" s="139" t="n">
        <v>4</v>
      </c>
    </row>
    <row r="96" customFormat="false" ht="15" hidden="false" customHeight="false" outlineLevel="0" collapsed="false">
      <c r="A96" s="0" t="s">
        <v>884</v>
      </c>
      <c r="B96" s="57" t="s">
        <v>2227</v>
      </c>
      <c r="C96" s="127" t="s">
        <v>2204</v>
      </c>
      <c r="D96" s="0" t="n">
        <v>-12</v>
      </c>
      <c r="E96" s="136" t="n">
        <v>1852.83</v>
      </c>
      <c r="F96" s="139" t="n">
        <v>2</v>
      </c>
    </row>
    <row r="97" customFormat="false" ht="15" hidden="false" customHeight="false" outlineLevel="0" collapsed="false">
      <c r="A97" s="0" t="s">
        <v>885</v>
      </c>
      <c r="B97" s="57" t="s">
        <v>2228</v>
      </c>
      <c r="C97" s="127" t="s">
        <v>2204</v>
      </c>
      <c r="D97" s="0" t="n">
        <v>-11</v>
      </c>
      <c r="E97" s="136" t="n">
        <v>8407.73</v>
      </c>
      <c r="F97" s="139" t="n">
        <v>8</v>
      </c>
    </row>
    <row r="98" customFormat="false" ht="15" hidden="false" customHeight="false" outlineLevel="0" collapsed="false">
      <c r="A98" s="0" t="s">
        <v>886</v>
      </c>
      <c r="B98" s="57" t="s">
        <v>2229</v>
      </c>
      <c r="C98" s="127" t="s">
        <v>2204</v>
      </c>
      <c r="D98" s="0" t="n">
        <v>-10</v>
      </c>
      <c r="E98" s="136" t="n">
        <v>988.62</v>
      </c>
      <c r="F98" s="139" t="n">
        <v>1</v>
      </c>
    </row>
    <row r="99" customFormat="false" ht="15" hidden="false" customHeight="false" outlineLevel="0" collapsed="false">
      <c r="A99" s="0" t="s">
        <v>887</v>
      </c>
      <c r="B99" s="57" t="s">
        <v>2230</v>
      </c>
      <c r="C99" s="127" t="s">
        <v>2204</v>
      </c>
      <c r="D99" s="0" t="n">
        <v>-9</v>
      </c>
      <c r="E99" s="136" t="n">
        <v>5118.1</v>
      </c>
      <c r="F99" s="139" t="n">
        <v>5</v>
      </c>
    </row>
    <row r="100" customFormat="false" ht="15" hidden="false" customHeight="false" outlineLevel="0" collapsed="false">
      <c r="A100" s="0" t="s">
        <v>888</v>
      </c>
      <c r="B100" s="57" t="s">
        <v>2231</v>
      </c>
      <c r="C100" s="127" t="s">
        <v>2204</v>
      </c>
      <c r="D100" s="0" t="n">
        <v>-8</v>
      </c>
      <c r="E100" s="136" t="n">
        <v>1876.63</v>
      </c>
      <c r="F100" s="139" t="n">
        <v>2</v>
      </c>
    </row>
    <row r="101" customFormat="false" ht="15" hidden="false" customHeight="false" outlineLevel="0" collapsed="false">
      <c r="A101" s="0" t="s">
        <v>889</v>
      </c>
      <c r="B101" s="57" t="s">
        <v>2232</v>
      </c>
      <c r="C101" s="127" t="s">
        <v>2204</v>
      </c>
      <c r="D101" s="0" t="n">
        <v>-7</v>
      </c>
      <c r="E101" s="136" t="n">
        <v>5079.39</v>
      </c>
      <c r="F101" s="139" t="n">
        <v>5</v>
      </c>
    </row>
    <row r="102" customFormat="false" ht="15" hidden="false" customHeight="false" outlineLevel="0" collapsed="false">
      <c r="A102" s="0" t="s">
        <v>890</v>
      </c>
      <c r="B102" s="57" t="s">
        <v>2233</v>
      </c>
      <c r="C102" s="127" t="s">
        <v>2204</v>
      </c>
      <c r="D102" s="0" t="n">
        <v>-6</v>
      </c>
      <c r="E102" s="136" t="n">
        <v>0</v>
      </c>
      <c r="F102" s="139" t="n">
        <v>0</v>
      </c>
    </row>
    <row r="103" customFormat="false" ht="15" hidden="false" customHeight="false" outlineLevel="0" collapsed="false">
      <c r="A103" s="0" t="s">
        <v>891</v>
      </c>
      <c r="B103" s="57" t="s">
        <v>2234</v>
      </c>
      <c r="C103" s="127" t="s">
        <v>2204</v>
      </c>
      <c r="D103" s="0" t="n">
        <v>-5</v>
      </c>
      <c r="E103" s="136" t="n">
        <v>4698.81</v>
      </c>
      <c r="F103" s="139" t="n">
        <v>5</v>
      </c>
    </row>
    <row r="104" customFormat="false" ht="15" hidden="false" customHeight="false" outlineLevel="0" collapsed="false">
      <c r="A104" s="0" t="s">
        <v>892</v>
      </c>
      <c r="B104" s="57" t="s">
        <v>2235</v>
      </c>
      <c r="C104" s="127" t="s">
        <v>2204</v>
      </c>
      <c r="D104" s="0" t="n">
        <v>-4</v>
      </c>
      <c r="E104" s="136" t="n">
        <v>3954.23</v>
      </c>
      <c r="F104" s="139" t="n">
        <v>4</v>
      </c>
    </row>
    <row r="105" customFormat="false" ht="15" hidden="false" customHeight="false" outlineLevel="0" collapsed="false">
      <c r="A105" s="0" t="s">
        <v>893</v>
      </c>
      <c r="B105" s="57" t="s">
        <v>2236</v>
      </c>
      <c r="C105" s="127" t="s">
        <v>2204</v>
      </c>
      <c r="D105" s="0" t="n">
        <v>-3</v>
      </c>
      <c r="E105" s="136" t="n">
        <v>0</v>
      </c>
      <c r="F105" s="139" t="n">
        <v>0</v>
      </c>
    </row>
    <row r="106" customFormat="false" ht="15" hidden="false" customHeight="false" outlineLevel="0" collapsed="false">
      <c r="A106" s="0" t="s">
        <v>894</v>
      </c>
      <c r="B106" s="57" t="s">
        <v>2237</v>
      </c>
      <c r="C106" s="127" t="s">
        <v>2204</v>
      </c>
      <c r="D106" s="0" t="n">
        <v>-2</v>
      </c>
      <c r="E106" s="136" t="n">
        <v>0</v>
      </c>
      <c r="F106" s="139" t="n">
        <v>0</v>
      </c>
    </row>
    <row r="107" customFormat="false" ht="15" hidden="false" customHeight="false" outlineLevel="0" collapsed="false">
      <c r="A107" s="0" t="s">
        <v>895</v>
      </c>
      <c r="B107" s="57" t="s">
        <v>2238</v>
      </c>
      <c r="C107" s="127" t="s">
        <v>2204</v>
      </c>
      <c r="D107" s="0" t="n">
        <v>-1</v>
      </c>
      <c r="E107" s="136" t="n">
        <v>4424.47</v>
      </c>
      <c r="F107" s="139" t="n">
        <v>5</v>
      </c>
    </row>
    <row r="108" customFormat="false" ht="15" hidden="false" customHeight="false" outlineLevel="0" collapsed="false">
      <c r="A108" s="0" t="s">
        <v>896</v>
      </c>
      <c r="B108" s="57" t="s">
        <v>2239</v>
      </c>
      <c r="C108" s="127" t="s">
        <v>2204</v>
      </c>
      <c r="D108" s="0" t="n">
        <v>0</v>
      </c>
      <c r="E108" s="136" t="n">
        <v>2943.3</v>
      </c>
      <c r="F108" s="139" t="n">
        <v>3</v>
      </c>
    </row>
    <row r="110" customFormat="false" ht="15" hidden="false" customHeight="false" outlineLevel="0" collapsed="false">
      <c r="A110" s="22" t="s">
        <v>2240</v>
      </c>
      <c r="B110" s="23"/>
      <c r="C110" s="23"/>
      <c r="D110" s="23"/>
      <c r="E110" s="23"/>
      <c r="F110" s="23"/>
      <c r="G110" s="23"/>
      <c r="H110" s="23"/>
      <c r="I110" s="23"/>
      <c r="J110" s="23"/>
      <c r="K110" s="23"/>
      <c r="L110" s="23"/>
      <c r="M110" s="23"/>
      <c r="N110" s="23"/>
      <c r="O110" s="23"/>
    </row>
    <row r="111" customFormat="false" ht="19.5" hidden="false" customHeight="true" outlineLevel="0" collapsed="false">
      <c r="A111" s="26" t="s">
        <v>2241</v>
      </c>
      <c r="B111" s="27" t="s">
        <v>2173</v>
      </c>
      <c r="C111" s="27" t="s">
        <v>755</v>
      </c>
      <c r="D111" s="27" t="s">
        <v>756</v>
      </c>
      <c r="E111" s="27" t="s">
        <v>757</v>
      </c>
      <c r="F111" s="27" t="s">
        <v>758</v>
      </c>
      <c r="G111" s="27" t="s">
        <v>759</v>
      </c>
      <c r="H111" s="27" t="s">
        <v>760</v>
      </c>
      <c r="I111" s="27" t="s">
        <v>761</v>
      </c>
      <c r="J111" s="27" t="s">
        <v>762</v>
      </c>
    </row>
    <row r="112" customFormat="false" ht="15" hidden="false" customHeight="false" outlineLevel="0" collapsed="false">
      <c r="A112" s="0" t="s">
        <v>773</v>
      </c>
      <c r="B112" s="0" t="s">
        <v>755</v>
      </c>
      <c r="C112" s="110" t="n">
        <v>27683.23</v>
      </c>
      <c r="D112" s="110" t="n">
        <v>26350.81</v>
      </c>
      <c r="E112" s="110" t="n">
        <v>25578.65</v>
      </c>
      <c r="F112" s="110" t="n">
        <v>24652.44</v>
      </c>
      <c r="G112" s="110" t="n">
        <v>25770.41</v>
      </c>
      <c r="H112" s="110" t="n">
        <v>25817.97</v>
      </c>
      <c r="I112" s="110" t="n">
        <v>25194.47</v>
      </c>
      <c r="J112" s="110" t="n">
        <v>24578.75</v>
      </c>
    </row>
    <row r="113" customFormat="false" ht="15" hidden="false" customHeight="false" outlineLevel="0" collapsed="false">
      <c r="A113" s="0" t="s">
        <v>774</v>
      </c>
      <c r="B113" s="0" t="s">
        <v>756</v>
      </c>
      <c r="D113" s="110" t="n">
        <v>29342.39</v>
      </c>
      <c r="E113" s="110" t="n">
        <v>28913.71</v>
      </c>
      <c r="F113" s="110" t="n">
        <v>28211.35</v>
      </c>
      <c r="G113" s="110" t="n">
        <v>28280.25</v>
      </c>
      <c r="H113" s="110" t="n">
        <v>27608.76</v>
      </c>
      <c r="I113" s="110" t="n">
        <v>27552.9</v>
      </c>
      <c r="J113" s="110" t="n">
        <v>27518.14</v>
      </c>
    </row>
    <row r="114" customFormat="false" ht="15" hidden="false" customHeight="false" outlineLevel="0" collapsed="false">
      <c r="A114" s="0" t="s">
        <v>775</v>
      </c>
      <c r="B114" s="0" t="s">
        <v>757</v>
      </c>
      <c r="E114" s="110" t="n">
        <v>31017.83</v>
      </c>
      <c r="F114" s="110" t="n">
        <v>30953.82</v>
      </c>
      <c r="G114" s="110" t="n">
        <v>31288.1</v>
      </c>
      <c r="H114" s="110" t="n">
        <v>30678.24</v>
      </c>
      <c r="I114" s="110" t="n">
        <v>29282.87</v>
      </c>
      <c r="J114" s="110" t="n">
        <v>29195.86</v>
      </c>
    </row>
    <row r="115" customFormat="false" ht="15" hidden="false" customHeight="false" outlineLevel="0" collapsed="false">
      <c r="A115" s="0" t="s">
        <v>776</v>
      </c>
      <c r="B115" s="0" t="s">
        <v>758</v>
      </c>
      <c r="F115" s="110" t="n">
        <v>28092.96</v>
      </c>
      <c r="G115" s="110" t="n">
        <v>27198.97</v>
      </c>
      <c r="H115" s="110" t="n">
        <v>26745.49</v>
      </c>
      <c r="I115" s="110" t="n">
        <v>26449.65</v>
      </c>
      <c r="J115" s="110" t="n">
        <v>25835.39</v>
      </c>
    </row>
    <row r="116" customFormat="false" ht="15" hidden="false" customHeight="false" outlineLevel="0" collapsed="false">
      <c r="A116" s="0" t="s">
        <v>777</v>
      </c>
      <c r="B116" s="0" t="s">
        <v>759</v>
      </c>
      <c r="G116" s="110" t="n">
        <v>46470.88</v>
      </c>
      <c r="H116" s="110" t="n">
        <v>45905.26</v>
      </c>
      <c r="I116" s="110" t="n">
        <v>45621.23</v>
      </c>
      <c r="J116" s="110" t="n">
        <v>45329.51</v>
      </c>
    </row>
    <row r="117" customFormat="false" ht="15" hidden="false" customHeight="false" outlineLevel="0" collapsed="false">
      <c r="A117" s="0" t="s">
        <v>778</v>
      </c>
      <c r="B117" s="0" t="s">
        <v>760</v>
      </c>
      <c r="H117" s="110" t="n">
        <v>26028.31</v>
      </c>
      <c r="I117" s="110" t="n">
        <v>24861.75</v>
      </c>
      <c r="J117" s="110" t="n">
        <v>23931.34</v>
      </c>
    </row>
    <row r="118" customFormat="false" ht="15" hidden="false" customHeight="false" outlineLevel="0" collapsed="false">
      <c r="A118" s="0" t="s">
        <v>779</v>
      </c>
      <c r="B118" s="0" t="s">
        <v>761</v>
      </c>
      <c r="I118" s="110" t="n">
        <v>30669.49</v>
      </c>
      <c r="J118" s="110" t="n">
        <v>29604.5</v>
      </c>
    </row>
    <row r="119" customFormat="false" ht="15" hidden="false" customHeight="false" outlineLevel="0" collapsed="false">
      <c r="A119" s="0" t="s">
        <v>780</v>
      </c>
      <c r="B119" s="0" t="s">
        <v>762</v>
      </c>
      <c r="J119" s="110" t="n">
        <v>26946.23</v>
      </c>
    </row>
    <row r="121" customFormat="false" ht="19.5" hidden="false" customHeight="true" outlineLevel="0" collapsed="false">
      <c r="A121" s="26" t="s">
        <v>2242</v>
      </c>
      <c r="B121" s="27" t="s">
        <v>2173</v>
      </c>
      <c r="C121" s="27" t="s">
        <v>755</v>
      </c>
      <c r="D121" s="27" t="s">
        <v>756</v>
      </c>
      <c r="E121" s="27" t="s">
        <v>757</v>
      </c>
      <c r="F121" s="27" t="s">
        <v>758</v>
      </c>
      <c r="G121" s="27" t="s">
        <v>759</v>
      </c>
      <c r="H121" s="27" t="s">
        <v>760</v>
      </c>
      <c r="I121" s="27" t="s">
        <v>761</v>
      </c>
      <c r="J121" s="27" t="s">
        <v>762</v>
      </c>
    </row>
    <row r="122" customFormat="false" ht="15" hidden="false" customHeight="false" outlineLevel="0" collapsed="false">
      <c r="A122" s="0" t="s">
        <v>773</v>
      </c>
      <c r="B122" s="0" t="s">
        <v>755</v>
      </c>
      <c r="C122" s="139" t="n">
        <v>82</v>
      </c>
      <c r="D122" s="139" t="n">
        <v>73</v>
      </c>
      <c r="E122" s="139" t="n">
        <v>67</v>
      </c>
      <c r="F122" s="139" t="n">
        <v>61</v>
      </c>
      <c r="G122" s="139" t="n">
        <v>58</v>
      </c>
      <c r="H122" s="139" t="n">
        <v>57</v>
      </c>
      <c r="I122" s="139" t="n">
        <v>53</v>
      </c>
      <c r="J122" s="139" t="n">
        <v>49</v>
      </c>
    </row>
    <row r="123" customFormat="false" ht="15" hidden="false" customHeight="false" outlineLevel="0" collapsed="false">
      <c r="A123" s="0" t="s">
        <v>774</v>
      </c>
      <c r="B123" s="0" t="s">
        <v>756</v>
      </c>
      <c r="D123" s="139" t="n">
        <v>68</v>
      </c>
      <c r="E123" s="139" t="n">
        <v>63</v>
      </c>
      <c r="F123" s="139" t="n">
        <v>57</v>
      </c>
      <c r="G123" s="139" t="n">
        <v>53</v>
      </c>
      <c r="H123" s="139" t="n">
        <v>50</v>
      </c>
      <c r="I123" s="139" t="n">
        <v>48</v>
      </c>
      <c r="J123" s="139" t="n">
        <v>46</v>
      </c>
    </row>
    <row r="124" customFormat="false" ht="15" hidden="false" customHeight="false" outlineLevel="0" collapsed="false">
      <c r="A124" s="0" t="s">
        <v>775</v>
      </c>
      <c r="B124" s="0" t="s">
        <v>757</v>
      </c>
      <c r="E124" s="139" t="n">
        <v>82</v>
      </c>
      <c r="F124" s="139" t="n">
        <v>79</v>
      </c>
      <c r="G124" s="139" t="n">
        <v>75</v>
      </c>
      <c r="H124" s="139" t="n">
        <v>69</v>
      </c>
      <c r="I124" s="139" t="n">
        <v>60</v>
      </c>
      <c r="J124" s="139" t="n">
        <v>58</v>
      </c>
    </row>
    <row r="125" customFormat="false" ht="15" hidden="false" customHeight="false" outlineLevel="0" collapsed="false">
      <c r="A125" s="0" t="s">
        <v>776</v>
      </c>
      <c r="B125" s="0" t="s">
        <v>758</v>
      </c>
      <c r="F125" s="139" t="n">
        <v>75</v>
      </c>
      <c r="G125" s="139" t="n">
        <v>65</v>
      </c>
      <c r="H125" s="139" t="n">
        <v>61</v>
      </c>
      <c r="I125" s="139" t="n">
        <v>58</v>
      </c>
      <c r="J125" s="139" t="n">
        <v>53</v>
      </c>
    </row>
    <row r="126" customFormat="false" ht="15" hidden="false" customHeight="false" outlineLevel="0" collapsed="false">
      <c r="A126" s="0" t="s">
        <v>777</v>
      </c>
      <c r="B126" s="0" t="s">
        <v>759</v>
      </c>
      <c r="G126" s="139" t="n">
        <v>116</v>
      </c>
      <c r="H126" s="139" t="n">
        <v>109</v>
      </c>
      <c r="I126" s="139" t="n">
        <v>104</v>
      </c>
      <c r="J126" s="139" t="n">
        <v>99</v>
      </c>
    </row>
    <row r="127" customFormat="false" ht="15" hidden="false" customHeight="false" outlineLevel="0" collapsed="false">
      <c r="A127" s="0" t="s">
        <v>778</v>
      </c>
      <c r="B127" s="0" t="s">
        <v>760</v>
      </c>
      <c r="H127" s="139" t="n">
        <v>82</v>
      </c>
      <c r="I127" s="139" t="n">
        <v>73</v>
      </c>
      <c r="J127" s="139" t="n">
        <v>66</v>
      </c>
    </row>
    <row r="128" customFormat="false" ht="15" hidden="false" customHeight="false" outlineLevel="0" collapsed="false">
      <c r="A128" s="0" t="s">
        <v>779</v>
      </c>
      <c r="B128" s="0" t="s">
        <v>761</v>
      </c>
      <c r="I128" s="139" t="n">
        <v>66</v>
      </c>
      <c r="J128" s="139" t="n">
        <v>58</v>
      </c>
    </row>
    <row r="129" customFormat="false" ht="15" hidden="false" customHeight="false" outlineLevel="0" collapsed="false">
      <c r="A129" s="0" t="s">
        <v>780</v>
      </c>
      <c r="B129" s="0" t="s">
        <v>762</v>
      </c>
      <c r="J129" s="139" t="n">
        <v>87</v>
      </c>
    </row>
    <row r="131" customFormat="false" ht="15" hidden="false" customHeight="false" outlineLevel="0" collapsed="false">
      <c r="A131" s="0" t="s">
        <v>2243</v>
      </c>
      <c r="B131" s="0" t="s">
        <v>2244</v>
      </c>
      <c r="C131" s="110" t="n">
        <v>262595.46</v>
      </c>
      <c r="D131" s="110" t="n">
        <v>288175.57</v>
      </c>
      <c r="E131" s="110" t="n">
        <v>310587.59</v>
      </c>
      <c r="F131" s="110" t="n">
        <v>335652.5</v>
      </c>
      <c r="G131" s="110" t="n">
        <v>387426.66</v>
      </c>
      <c r="H131" s="110" t="n">
        <v>406600.74</v>
      </c>
      <c r="I131" s="110" t="n">
        <v>432316.9</v>
      </c>
      <c r="J131" s="110" t="n">
        <v>452847.26</v>
      </c>
    </row>
    <row r="132" customFormat="false" ht="15" hidden="false" customHeight="false" outlineLevel="0" collapsed="false">
      <c r="A132" s="0" t="s">
        <v>2245</v>
      </c>
      <c r="B132" s="0" t="s">
        <v>2244</v>
      </c>
      <c r="C132" s="139" t="n">
        <v>612</v>
      </c>
      <c r="D132" s="139" t="n">
        <v>643</v>
      </c>
      <c r="E132" s="139" t="n">
        <v>692</v>
      </c>
      <c r="F132" s="139" t="n">
        <v>728</v>
      </c>
      <c r="G132" s="139" t="n">
        <v>806</v>
      </c>
      <c r="H132" s="139" t="n">
        <v>847</v>
      </c>
      <c r="I132" s="139" t="n">
        <v>860</v>
      </c>
      <c r="J132" s="139" t="n">
        <v>894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8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16" min="5" style="0" width="11.5"/>
  </cols>
  <sheetData>
    <row r="1" customFormat="false" ht="15" hidden="false" customHeight="false" outlineLevel="0" collapsed="false">
      <c r="A1" s="20" t="str">
        <f aca="false">Assumptions!$C$6</f>
        <v>Turnoval Software S.L. (fictional demonstration company)</v>
      </c>
    </row>
    <row r="2" customFormat="false" ht="17.35" hidden="false" customHeight="false" outlineLevel="0" collapsed="false">
      <c r="A2" s="21" t="s">
        <v>2246</v>
      </c>
    </row>
    <row r="3" customFormat="false" ht="15" hidden="false" customHeight="false" outlineLevel="0" collapsed="false">
      <c r="A3" s="50" t="s">
        <v>2247</v>
      </c>
    </row>
    <row r="4" customFormat="false" ht="15" hidden="false" customHeight="false" outlineLevel="0" collapsed="false">
      <c r="A4" s="51" t="s">
        <v>325</v>
      </c>
      <c r="B4" s="51" t="s">
        <v>326</v>
      </c>
      <c r="C4" s="52" t="s">
        <v>327</v>
      </c>
      <c r="D4" s="52"/>
      <c r="E4" s="53" t="n">
        <f aca="false">Assumptions!E$188</f>
        <v>46053</v>
      </c>
      <c r="F4" s="53" t="n">
        <f aca="false">Assumptions!F$188</f>
        <v>46081</v>
      </c>
      <c r="G4" s="53" t="n">
        <f aca="false">Assumptions!G$188</f>
        <v>46112</v>
      </c>
      <c r="H4" s="53" t="n">
        <f aca="false">Assumptions!H$188</f>
        <v>46142</v>
      </c>
      <c r="I4" s="53" t="n">
        <f aca="false">Assumptions!I$188</f>
        <v>46173</v>
      </c>
      <c r="J4" s="53" t="n">
        <f aca="false">Assumptions!J$188</f>
        <v>46203</v>
      </c>
      <c r="K4" s="53" t="n">
        <f aca="false">Assumptions!K$188</f>
        <v>46234</v>
      </c>
      <c r="L4" s="53" t="n">
        <f aca="false">Assumptions!L$188</f>
        <v>46265</v>
      </c>
      <c r="M4" s="53" t="n">
        <f aca="false">Assumptions!M$188</f>
        <v>46295</v>
      </c>
      <c r="N4" s="53" t="n">
        <f aca="false">Assumptions!N$188</f>
        <v>46326</v>
      </c>
      <c r="O4" s="53" t="n">
        <f aca="false">Assumptions!O$188</f>
        <v>46356</v>
      </c>
      <c r="P4" s="53" t="n">
        <f aca="false">Assumptions!P$188</f>
        <v>46387</v>
      </c>
    </row>
    <row r="5" customFormat="false" ht="15" hidden="false" customHeight="false" outlineLevel="0" collapsed="false">
      <c r="A5" s="54" t="s">
        <v>329</v>
      </c>
      <c r="B5" s="55"/>
      <c r="C5" s="56" t="s">
        <v>330</v>
      </c>
      <c r="D5" s="56"/>
      <c r="E5" s="56" t="str">
        <f aca="false">Assumptions!E$190</f>
        <v>A</v>
      </c>
      <c r="F5" s="56" t="str">
        <f aca="false">Assumptions!F$190</f>
        <v>A</v>
      </c>
      <c r="G5" s="56" t="str">
        <f aca="false">Assumptions!G$190</f>
        <v>A</v>
      </c>
      <c r="H5" s="56" t="str">
        <f aca="false">Assumptions!H$190</f>
        <v>A</v>
      </c>
      <c r="I5" s="56" t="str">
        <f aca="false">Assumptions!I$190</f>
        <v>A</v>
      </c>
      <c r="J5" s="56" t="str">
        <f aca="false">Assumptions!J$190</f>
        <v>A</v>
      </c>
      <c r="K5" s="56" t="str">
        <f aca="false">Assumptions!K$190</f>
        <v>A</v>
      </c>
      <c r="L5" s="56" t="str">
        <f aca="false">Assumptions!L$190</f>
        <v>A</v>
      </c>
      <c r="M5" s="56" t="str">
        <f aca="false">Assumptions!M$190</f>
        <v>F</v>
      </c>
      <c r="N5" s="56" t="str">
        <f aca="false">Assumptions!N$190</f>
        <v>F</v>
      </c>
      <c r="O5" s="56" t="str">
        <f aca="false">Assumptions!O$190</f>
        <v>F</v>
      </c>
      <c r="P5" s="56" t="str">
        <f aca="false">Assumptions!P$190</f>
        <v>F</v>
      </c>
    </row>
    <row r="6" customFormat="false" ht="15" hidden="false" customHeight="false" outlineLevel="0" collapsed="false">
      <c r="A6" s="57" t="s">
        <v>332</v>
      </c>
      <c r="E6" s="58" t="n">
        <f aca="false">Assumptions!E$189</f>
        <v>1</v>
      </c>
      <c r="F6" s="58" t="n">
        <f aca="false">Assumptions!F$189</f>
        <v>2</v>
      </c>
      <c r="G6" s="58" t="n">
        <f aca="false">Assumptions!G$189</f>
        <v>3</v>
      </c>
      <c r="H6" s="58" t="n">
        <f aca="false">Assumptions!H$189</f>
        <v>4</v>
      </c>
      <c r="I6" s="58" t="n">
        <f aca="false">Assumptions!I$189</f>
        <v>5</v>
      </c>
      <c r="J6" s="58" t="n">
        <f aca="false">Assumptions!J$189</f>
        <v>6</v>
      </c>
      <c r="K6" s="58" t="n">
        <f aca="false">Assumptions!K$189</f>
        <v>7</v>
      </c>
      <c r="L6" s="58" t="n">
        <f aca="false">Assumptions!L$189</f>
        <v>8</v>
      </c>
      <c r="M6" s="58" t="n">
        <f aca="false">Assumptions!M$189</f>
        <v>9</v>
      </c>
      <c r="N6" s="58" t="n">
        <f aca="false">Assumptions!N$189</f>
        <v>10</v>
      </c>
      <c r="O6" s="58" t="n">
        <f aca="false">Assumptions!O$189</f>
        <v>11</v>
      </c>
      <c r="P6" s="58" t="n">
        <f aca="false">Assumptions!P$189</f>
        <v>12</v>
      </c>
    </row>
    <row r="8" customFormat="false" ht="15" hidden="false" customHeight="false" outlineLevel="0" collapsed="false">
      <c r="A8" s="22" t="s">
        <v>2248</v>
      </c>
      <c r="B8" s="23"/>
      <c r="C8" s="23"/>
      <c r="D8" s="23"/>
      <c r="E8" s="23"/>
      <c r="F8" s="23"/>
      <c r="G8" s="23"/>
      <c r="H8" s="23"/>
      <c r="I8" s="23"/>
      <c r="J8" s="23"/>
      <c r="K8" s="23"/>
      <c r="L8" s="23"/>
      <c r="M8" s="23"/>
      <c r="N8" s="23"/>
      <c r="O8" s="23"/>
      <c r="P8" s="23"/>
    </row>
    <row r="9" customFormat="false" ht="15" hidden="false" customHeight="false" outlineLevel="0" collapsed="false">
      <c r="A9" s="28" t="s">
        <v>732</v>
      </c>
      <c r="B9" s="63" t="s">
        <v>2249</v>
      </c>
      <c r="C9" s="64" t="n">
        <f aca="false">SUM(E9:P9)</f>
        <v>89424</v>
      </c>
      <c r="E9" s="110" t="n">
        <v>9168</v>
      </c>
      <c r="F9" s="110" t="n">
        <v>8116</v>
      </c>
      <c r="G9" s="110" t="n">
        <v>7890</v>
      </c>
      <c r="H9" s="110" t="n">
        <v>7515</v>
      </c>
      <c r="I9" s="110" t="n">
        <v>7515</v>
      </c>
      <c r="J9" s="110" t="n">
        <v>7139</v>
      </c>
      <c r="K9" s="110" t="n">
        <v>6387</v>
      </c>
      <c r="L9" s="110" t="n">
        <v>5110</v>
      </c>
      <c r="M9" s="110" t="n">
        <v>8116</v>
      </c>
      <c r="N9" s="110" t="n">
        <v>8416</v>
      </c>
      <c r="O9" s="110" t="n">
        <v>7665</v>
      </c>
      <c r="P9" s="110" t="n">
        <v>6387</v>
      </c>
    </row>
    <row r="10" customFormat="false" ht="15" hidden="false" customHeight="false" outlineLevel="0" collapsed="false">
      <c r="A10" s="28" t="s">
        <v>733</v>
      </c>
      <c r="B10" s="63" t="s">
        <v>2249</v>
      </c>
      <c r="C10" s="64" t="n">
        <f aca="false">SUM(E10:P10)</f>
        <v>25355</v>
      </c>
      <c r="E10" s="110" t="n">
        <v>1724</v>
      </c>
      <c r="F10" s="110" t="n">
        <v>1885</v>
      </c>
      <c r="G10" s="110" t="n">
        <v>1946</v>
      </c>
      <c r="H10" s="110" t="n">
        <v>2005</v>
      </c>
      <c r="I10" s="110" t="n">
        <v>2059</v>
      </c>
      <c r="J10" s="110" t="n">
        <v>2112</v>
      </c>
      <c r="K10" s="110" t="n">
        <v>2161</v>
      </c>
      <c r="L10" s="110" t="n">
        <v>2201</v>
      </c>
      <c r="M10" s="110" t="n">
        <v>2228</v>
      </c>
      <c r="N10" s="110" t="n">
        <v>2287</v>
      </c>
      <c r="O10" s="110" t="n">
        <v>2348</v>
      </c>
      <c r="P10" s="110" t="n">
        <v>2399</v>
      </c>
    </row>
    <row r="11" customFormat="false" ht="15" hidden="false" customHeight="false" outlineLevel="0" collapsed="false">
      <c r="A11" s="28" t="s">
        <v>734</v>
      </c>
      <c r="B11" s="63" t="s">
        <v>2249</v>
      </c>
      <c r="C11" s="64" t="n">
        <f aca="false">SUM(E11:P11)</f>
        <v>8110</v>
      </c>
      <c r="E11" s="110" t="n">
        <v>8110</v>
      </c>
      <c r="F11" s="110" t="n">
        <v>0</v>
      </c>
      <c r="G11" s="110" t="n">
        <v>0</v>
      </c>
      <c r="H11" s="110" t="n">
        <v>0</v>
      </c>
      <c r="I11" s="110" t="n">
        <v>0</v>
      </c>
      <c r="J11" s="110" t="n">
        <v>0</v>
      </c>
      <c r="K11" s="110" t="n">
        <v>0</v>
      </c>
      <c r="L11" s="110" t="n">
        <v>0</v>
      </c>
      <c r="M11" s="110" t="n">
        <v>0</v>
      </c>
      <c r="N11" s="110" t="n">
        <v>0</v>
      </c>
      <c r="O11" s="110" t="n">
        <v>0</v>
      </c>
      <c r="P11" s="110" t="n">
        <v>0</v>
      </c>
    </row>
    <row r="12" customFormat="false" ht="15" hidden="false" customHeight="false" outlineLevel="0" collapsed="false">
      <c r="A12" s="28" t="s">
        <v>735</v>
      </c>
      <c r="B12" s="63" t="s">
        <v>2249</v>
      </c>
      <c r="C12" s="64" t="n">
        <f aca="false">SUM(E12:P12)</f>
        <v>-10865</v>
      </c>
      <c r="E12" s="110" t="n">
        <v>-739</v>
      </c>
      <c r="F12" s="110" t="n">
        <v>-808</v>
      </c>
      <c r="G12" s="110" t="n">
        <v>-834</v>
      </c>
      <c r="H12" s="110" t="n">
        <v>-859</v>
      </c>
      <c r="I12" s="110" t="n">
        <v>-882</v>
      </c>
      <c r="J12" s="110" t="n">
        <v>-905</v>
      </c>
      <c r="K12" s="110" t="n">
        <v>-926</v>
      </c>
      <c r="L12" s="110" t="n">
        <v>-943</v>
      </c>
      <c r="M12" s="110" t="n">
        <v>-955</v>
      </c>
      <c r="N12" s="110" t="n">
        <v>-980</v>
      </c>
      <c r="O12" s="110" t="n">
        <v>-1006</v>
      </c>
      <c r="P12" s="110" t="n">
        <v>-1028</v>
      </c>
    </row>
    <row r="13" customFormat="false" ht="15" hidden="false" customHeight="false" outlineLevel="0" collapsed="false">
      <c r="A13" s="28" t="s">
        <v>736</v>
      </c>
      <c r="B13" s="63" t="s">
        <v>2249</v>
      </c>
      <c r="C13" s="64" t="n">
        <f aca="false">SUM(E13:P13)</f>
        <v>-44161</v>
      </c>
      <c r="E13" s="110" t="n">
        <v>-2995</v>
      </c>
      <c r="F13" s="110" t="n">
        <v>-3307</v>
      </c>
      <c r="G13" s="110" t="n">
        <v>-3419</v>
      </c>
      <c r="H13" s="110" t="n">
        <v>-3556</v>
      </c>
      <c r="I13" s="110" t="n">
        <v>-3621</v>
      </c>
      <c r="J13" s="110" t="n">
        <v>-3701</v>
      </c>
      <c r="K13" s="110" t="n">
        <v>-3763</v>
      </c>
      <c r="L13" s="110" t="n">
        <v>-3797</v>
      </c>
      <c r="M13" s="110" t="n">
        <v>-3796</v>
      </c>
      <c r="N13" s="110" t="n">
        <v>-3940</v>
      </c>
      <c r="O13" s="110" t="n">
        <v>-4069</v>
      </c>
      <c r="P13" s="110" t="n">
        <v>-4197</v>
      </c>
    </row>
    <row r="14" customFormat="false" ht="15" hidden="false" customHeight="false" outlineLevel="0" collapsed="false">
      <c r="A14" s="59" t="s">
        <v>737</v>
      </c>
      <c r="B14" s="60" t="s">
        <v>2250</v>
      </c>
      <c r="C14" s="61" t="n">
        <f aca="false">P14</f>
        <v>232081.83</v>
      </c>
      <c r="D14" s="153"/>
      <c r="E14" s="62" t="n">
        <f aca="false">History!$N$13+E9+E10+E11+E12+E13</f>
        <v>179486.83</v>
      </c>
      <c r="F14" s="61" t="n">
        <f aca="false">E14+F9+F10+F11+F12+F13</f>
        <v>185372.83</v>
      </c>
      <c r="G14" s="61" t="n">
        <f aca="false">F14+G9+G10+G11+G12+G13</f>
        <v>190955.83</v>
      </c>
      <c r="H14" s="61" t="n">
        <f aca="false">G14+H9+H10+H11+H12+H13</f>
        <v>196060.83</v>
      </c>
      <c r="I14" s="61" t="n">
        <f aca="false">H14+I9+I10+I11+I12+I13</f>
        <v>201131.83</v>
      </c>
      <c r="J14" s="61" t="n">
        <f aca="false">I14+J9+J10+J11+J12+J13</f>
        <v>205776.83</v>
      </c>
      <c r="K14" s="61" t="n">
        <f aca="false">J14+K9+K10+K11+K12+K13</f>
        <v>209635.83</v>
      </c>
      <c r="L14" s="61" t="n">
        <f aca="false">K14+L9+L10+L11+L12+L13</f>
        <v>212206.83</v>
      </c>
      <c r="M14" s="61" t="n">
        <f aca="false">L14+M9+M10+M11+M12+M13</f>
        <v>217799.83</v>
      </c>
      <c r="N14" s="61" t="n">
        <f aca="false">M14+N9+N10+N11+N12+N13</f>
        <v>223582.83</v>
      </c>
      <c r="O14" s="61" t="n">
        <f aca="false">N14+O9+O10+O11+O12+O13</f>
        <v>228520.83</v>
      </c>
      <c r="P14" s="61" t="n">
        <f aca="false">O14+P9+P10+P11+P12+P13</f>
        <v>232081.83</v>
      </c>
    </row>
    <row r="15" customFormat="false" ht="15" hidden="false" customHeight="false" outlineLevel="0" collapsed="false">
      <c r="A15" s="28" t="s">
        <v>739</v>
      </c>
      <c r="B15" s="63" t="s">
        <v>2249</v>
      </c>
      <c r="C15" s="68" t="n">
        <f aca="false">SUM(E15:P15)</f>
        <v>432.1</v>
      </c>
      <c r="E15" s="140" t="n">
        <v>44.3</v>
      </c>
      <c r="F15" s="140" t="n">
        <v>39.2</v>
      </c>
      <c r="G15" s="140" t="n">
        <v>38.1</v>
      </c>
      <c r="H15" s="140" t="n">
        <v>36.3</v>
      </c>
      <c r="I15" s="140" t="n">
        <v>36.3</v>
      </c>
      <c r="J15" s="140" t="n">
        <v>34.5</v>
      </c>
      <c r="K15" s="140" t="n">
        <v>30.9</v>
      </c>
      <c r="L15" s="140" t="n">
        <v>24.7</v>
      </c>
      <c r="M15" s="140" t="n">
        <v>39.2</v>
      </c>
      <c r="N15" s="140" t="n">
        <v>40.7</v>
      </c>
      <c r="O15" s="140" t="n">
        <v>37</v>
      </c>
      <c r="P15" s="140" t="n">
        <v>30.9</v>
      </c>
    </row>
    <row r="16" customFormat="false" ht="15" hidden="false" customHeight="false" outlineLevel="0" collapsed="false">
      <c r="A16" s="28" t="s">
        <v>740</v>
      </c>
      <c r="B16" s="63" t="s">
        <v>2249</v>
      </c>
      <c r="C16" s="68" t="n">
        <f aca="false">SUM(E16:P16)</f>
        <v>-219.9</v>
      </c>
      <c r="E16" s="140" t="n">
        <v>-15.8</v>
      </c>
      <c r="F16" s="140" t="n">
        <v>-16.6</v>
      </c>
      <c r="G16" s="140" t="n">
        <v>-17.1</v>
      </c>
      <c r="H16" s="140" t="n">
        <v>-17.8</v>
      </c>
      <c r="I16" s="140" t="n">
        <v>-18.1</v>
      </c>
      <c r="J16" s="140" t="n">
        <v>-18.4</v>
      </c>
      <c r="K16" s="140" t="n">
        <v>-18.7</v>
      </c>
      <c r="L16" s="140" t="n">
        <v>-18.8</v>
      </c>
      <c r="M16" s="140" t="n">
        <v>-18.7</v>
      </c>
      <c r="N16" s="140" t="n">
        <v>-19.4</v>
      </c>
      <c r="O16" s="140" t="n">
        <v>-20</v>
      </c>
      <c r="P16" s="140" t="n">
        <v>-20.5</v>
      </c>
    </row>
    <row r="17" customFormat="false" ht="15" hidden="false" customHeight="false" outlineLevel="0" collapsed="false">
      <c r="A17" s="28" t="s">
        <v>2141</v>
      </c>
      <c r="B17" s="63"/>
      <c r="C17" s="68" t="n">
        <f aca="false">P17</f>
        <v>940.2</v>
      </c>
      <c r="E17" s="69" t="n">
        <f aca="false">History!$N$16+E15+E16</f>
        <v>756.5</v>
      </c>
      <c r="F17" s="80" t="n">
        <f aca="false">E17+F15+F16</f>
        <v>779.1</v>
      </c>
      <c r="G17" s="80" t="n">
        <f aca="false">F17+G15+G16</f>
        <v>800.1</v>
      </c>
      <c r="H17" s="80" t="n">
        <f aca="false">G17+H15+H16</f>
        <v>818.6</v>
      </c>
      <c r="I17" s="80" t="n">
        <f aca="false">H17+I15+I16</f>
        <v>836.8</v>
      </c>
      <c r="J17" s="80" t="n">
        <f aca="false">I17+J15+J16</f>
        <v>852.9</v>
      </c>
      <c r="K17" s="80" t="n">
        <f aca="false">J17+K15+K16</f>
        <v>865.1</v>
      </c>
      <c r="L17" s="80" t="n">
        <f aca="false">K17+L15+L16</f>
        <v>871</v>
      </c>
      <c r="M17" s="80" t="n">
        <f aca="false">L17+M15+M16</f>
        <v>891.5</v>
      </c>
      <c r="N17" s="80" t="n">
        <f aca="false">M17+N15+N16</f>
        <v>912.8</v>
      </c>
      <c r="O17" s="80" t="n">
        <f aca="false">N17+O15+O16</f>
        <v>929.8</v>
      </c>
      <c r="P17" s="80" t="n">
        <f aca="false">O17+P15+P16</f>
        <v>940.2</v>
      </c>
    </row>
    <row r="18" customFormat="false" ht="15" hidden="false" customHeight="false" outlineLevel="0" collapsed="false">
      <c r="A18" s="22" t="s">
        <v>2251</v>
      </c>
      <c r="B18" s="23"/>
      <c r="C18" s="23"/>
      <c r="D18" s="23"/>
      <c r="E18" s="23"/>
      <c r="F18" s="23"/>
      <c r="G18" s="23"/>
      <c r="H18" s="23"/>
      <c r="I18" s="23"/>
      <c r="J18" s="23"/>
      <c r="K18" s="23"/>
      <c r="L18" s="23"/>
      <c r="M18" s="23"/>
      <c r="N18" s="23"/>
      <c r="O18" s="23"/>
      <c r="P18" s="23"/>
    </row>
    <row r="19" customFormat="false" ht="15" hidden="false" customHeight="false" outlineLevel="0" collapsed="false">
      <c r="A19" s="28" t="s">
        <v>732</v>
      </c>
      <c r="B19" s="63" t="s">
        <v>2249</v>
      </c>
      <c r="C19" s="64" t="n">
        <f aca="false">SUM(E19:P19)</f>
        <v>63688</v>
      </c>
      <c r="E19" s="110" t="n">
        <v>6530</v>
      </c>
      <c r="F19" s="110" t="n">
        <v>5780</v>
      </c>
      <c r="G19" s="110" t="n">
        <v>5620</v>
      </c>
      <c r="H19" s="110" t="n">
        <v>5352</v>
      </c>
      <c r="I19" s="110" t="n">
        <v>5352</v>
      </c>
      <c r="J19" s="110" t="n">
        <v>5084</v>
      </c>
      <c r="K19" s="110" t="n">
        <v>4549</v>
      </c>
      <c r="L19" s="110" t="n">
        <v>3639</v>
      </c>
      <c r="M19" s="110" t="n">
        <v>5780</v>
      </c>
      <c r="N19" s="110" t="n">
        <v>5994</v>
      </c>
      <c r="O19" s="110" t="n">
        <v>5459</v>
      </c>
      <c r="P19" s="110" t="n">
        <v>4549</v>
      </c>
    </row>
    <row r="20" customFormat="false" ht="15" hidden="false" customHeight="false" outlineLevel="0" collapsed="false">
      <c r="A20" s="28" t="s">
        <v>733</v>
      </c>
      <c r="B20" s="63" t="s">
        <v>2249</v>
      </c>
      <c r="C20" s="64" t="n">
        <f aca="false">SUM(E20:P20)</f>
        <v>18564</v>
      </c>
      <c r="E20" s="110" t="n">
        <v>1673</v>
      </c>
      <c r="F20" s="110" t="n">
        <v>1312</v>
      </c>
      <c r="G20" s="110" t="n">
        <v>1488</v>
      </c>
      <c r="H20" s="110" t="n">
        <v>1499</v>
      </c>
      <c r="I20" s="110" t="n">
        <v>1590</v>
      </c>
      <c r="J20" s="110" t="n">
        <v>1431</v>
      </c>
      <c r="K20" s="110" t="n">
        <v>1683</v>
      </c>
      <c r="L20" s="110" t="n">
        <v>1446</v>
      </c>
      <c r="M20" s="110" t="n">
        <v>1617</v>
      </c>
      <c r="N20" s="110" t="n">
        <v>1572</v>
      </c>
      <c r="O20" s="110" t="n">
        <v>1636</v>
      </c>
      <c r="P20" s="110" t="n">
        <v>1617</v>
      </c>
    </row>
    <row r="21" customFormat="false" ht="15" hidden="false" customHeight="false" outlineLevel="0" collapsed="false">
      <c r="A21" s="28" t="s">
        <v>734</v>
      </c>
      <c r="B21" s="63" t="s">
        <v>2249</v>
      </c>
      <c r="C21" s="64" t="n">
        <f aca="false">SUM(E21:P21)</f>
        <v>7034</v>
      </c>
      <c r="E21" s="110" t="n">
        <v>968</v>
      </c>
      <c r="F21" s="110" t="n">
        <v>468</v>
      </c>
      <c r="G21" s="110" t="n">
        <v>661</v>
      </c>
      <c r="H21" s="110" t="n">
        <v>605</v>
      </c>
      <c r="I21" s="110" t="n">
        <v>701</v>
      </c>
      <c r="J21" s="110" t="n">
        <v>443</v>
      </c>
      <c r="K21" s="110" t="n">
        <v>728</v>
      </c>
      <c r="L21" s="110" t="n">
        <v>435</v>
      </c>
      <c r="M21" s="110" t="n">
        <v>554</v>
      </c>
      <c r="N21" s="110" t="n">
        <v>465</v>
      </c>
      <c r="O21" s="110" t="n">
        <v>539</v>
      </c>
      <c r="P21" s="110" t="n">
        <v>467</v>
      </c>
    </row>
    <row r="22" customFormat="false" ht="15" hidden="false" customHeight="false" outlineLevel="0" collapsed="false">
      <c r="A22" s="28" t="s">
        <v>735</v>
      </c>
      <c r="B22" s="63" t="s">
        <v>2249</v>
      </c>
      <c r="C22" s="64" t="n">
        <f aca="false">SUM(E22:P22)</f>
        <v>-3040</v>
      </c>
      <c r="E22" s="110" t="n">
        <v>-432</v>
      </c>
      <c r="F22" s="110" t="n">
        <v>-196</v>
      </c>
      <c r="G22" s="110" t="n">
        <v>-293</v>
      </c>
      <c r="H22" s="110" t="n">
        <v>-255</v>
      </c>
      <c r="I22" s="110" t="n">
        <v>-309</v>
      </c>
      <c r="J22" s="110" t="n">
        <v>-181</v>
      </c>
      <c r="K22" s="110" t="n">
        <v>-318</v>
      </c>
      <c r="L22" s="110" t="n">
        <v>-196</v>
      </c>
      <c r="M22" s="110" t="n">
        <v>-226</v>
      </c>
      <c r="N22" s="110" t="n">
        <v>-190</v>
      </c>
      <c r="O22" s="110" t="n">
        <v>-240</v>
      </c>
      <c r="P22" s="110" t="n">
        <v>-204</v>
      </c>
    </row>
    <row r="23" customFormat="false" ht="15" hidden="false" customHeight="false" outlineLevel="0" collapsed="false">
      <c r="A23" s="28" t="s">
        <v>736</v>
      </c>
      <c r="B23" s="63" t="s">
        <v>2249</v>
      </c>
      <c r="C23" s="64" t="n">
        <f aca="false">SUM(E23:P23)</f>
        <v>-15307</v>
      </c>
      <c r="E23" s="110" t="n">
        <v>-2321</v>
      </c>
      <c r="F23" s="110" t="n">
        <v>-911</v>
      </c>
      <c r="G23" s="110" t="n">
        <v>-1546</v>
      </c>
      <c r="H23" s="110" t="n">
        <v>-1220</v>
      </c>
      <c r="I23" s="110" t="n">
        <v>-1619</v>
      </c>
      <c r="J23" s="110" t="n">
        <v>-798</v>
      </c>
      <c r="K23" s="110" t="n">
        <v>-1644</v>
      </c>
      <c r="L23" s="110" t="n">
        <v>-1066</v>
      </c>
      <c r="M23" s="110" t="n">
        <v>-997</v>
      </c>
      <c r="N23" s="110" t="n">
        <v>-837</v>
      </c>
      <c r="O23" s="110" t="n">
        <v>-1292</v>
      </c>
      <c r="P23" s="110" t="n">
        <v>-1056</v>
      </c>
    </row>
    <row r="24" customFormat="false" ht="15" hidden="false" customHeight="false" outlineLevel="0" collapsed="false">
      <c r="A24" s="59" t="s">
        <v>737</v>
      </c>
      <c r="B24" s="60" t="s">
        <v>2250</v>
      </c>
      <c r="C24" s="61" t="n">
        <f aca="false">P24</f>
        <v>225738.57</v>
      </c>
      <c r="D24" s="153"/>
      <c r="E24" s="62" t="n">
        <f aca="false">History!$N$24+E19+E20+E21+E22+E23</f>
        <v>161217.57</v>
      </c>
      <c r="F24" s="61" t="n">
        <f aca="false">E24+F19+F20+F21+F22+F23</f>
        <v>167670.57</v>
      </c>
      <c r="G24" s="61" t="n">
        <f aca="false">F24+G19+G20+G21+G22+G23</f>
        <v>173600.57</v>
      </c>
      <c r="H24" s="61" t="n">
        <f aca="false">G24+H19+H20+H21+H22+H23</f>
        <v>179581.57</v>
      </c>
      <c r="I24" s="61" t="n">
        <f aca="false">H24+I19+I20+I21+I22+I23</f>
        <v>185296.57</v>
      </c>
      <c r="J24" s="61" t="n">
        <f aca="false">I24+J19+J20+J21+J22+J23</f>
        <v>191275.57</v>
      </c>
      <c r="K24" s="61" t="n">
        <f aca="false">J24+K19+K20+K21+K22+K23</f>
        <v>196273.57</v>
      </c>
      <c r="L24" s="61" t="n">
        <f aca="false">K24+L19+L20+L21+L22+L23</f>
        <v>200531.57</v>
      </c>
      <c r="M24" s="61" t="n">
        <f aca="false">L24+M19+M20+M21+M22+M23</f>
        <v>207259.57</v>
      </c>
      <c r="N24" s="61" t="n">
        <f aca="false">M24+N19+N20+N21+N22+N23</f>
        <v>214263.57</v>
      </c>
      <c r="O24" s="61" t="n">
        <f aca="false">N24+O19+O20+O21+O22+O23</f>
        <v>220365.57</v>
      </c>
      <c r="P24" s="61" t="n">
        <f aca="false">O24+P19+P20+P21+P22+P23</f>
        <v>225738.57</v>
      </c>
    </row>
    <row r="25" customFormat="false" ht="15" hidden="false" customHeight="false" outlineLevel="0" collapsed="false">
      <c r="A25" s="28" t="s">
        <v>739</v>
      </c>
      <c r="B25" s="63" t="s">
        <v>2249</v>
      </c>
      <c r="C25" s="68" t="n">
        <f aca="false">SUM(E25:P25)</f>
        <v>66</v>
      </c>
      <c r="E25" s="140" t="n">
        <v>6.8</v>
      </c>
      <c r="F25" s="140" t="n">
        <v>6</v>
      </c>
      <c r="G25" s="140" t="n">
        <v>5.8</v>
      </c>
      <c r="H25" s="140" t="n">
        <v>5.5</v>
      </c>
      <c r="I25" s="140" t="n">
        <v>5.5</v>
      </c>
      <c r="J25" s="140" t="n">
        <v>5.3</v>
      </c>
      <c r="K25" s="140" t="n">
        <v>4.7</v>
      </c>
      <c r="L25" s="140" t="n">
        <v>3.8</v>
      </c>
      <c r="M25" s="140" t="n">
        <v>6</v>
      </c>
      <c r="N25" s="140" t="n">
        <v>6.2</v>
      </c>
      <c r="O25" s="140" t="n">
        <v>5.7</v>
      </c>
      <c r="P25" s="140" t="n">
        <v>4.7</v>
      </c>
    </row>
    <row r="26" customFormat="false" ht="15" hidden="false" customHeight="false" outlineLevel="0" collapsed="false">
      <c r="A26" s="28" t="s">
        <v>740</v>
      </c>
      <c r="B26" s="63" t="s">
        <v>2249</v>
      </c>
      <c r="C26" s="68" t="n">
        <f aca="false">SUM(E26:P26)</f>
        <v>-15.8</v>
      </c>
      <c r="E26" s="140" t="n">
        <v>-2.4</v>
      </c>
      <c r="F26" s="140" t="n">
        <v>-1</v>
      </c>
      <c r="G26" s="140" t="n">
        <v>-1.5</v>
      </c>
      <c r="H26" s="140" t="n">
        <v>-1.3</v>
      </c>
      <c r="I26" s="140" t="n">
        <v>-1.7</v>
      </c>
      <c r="J26" s="140" t="n">
        <v>-0.8</v>
      </c>
      <c r="K26" s="140" t="n">
        <v>-1.7</v>
      </c>
      <c r="L26" s="140" t="n">
        <v>-1.1</v>
      </c>
      <c r="M26" s="140" t="n">
        <v>-1</v>
      </c>
      <c r="N26" s="140" t="n">
        <v>-0.8</v>
      </c>
      <c r="O26" s="140" t="n">
        <v>-1.4</v>
      </c>
      <c r="P26" s="140" t="n">
        <v>-1.1</v>
      </c>
    </row>
    <row r="27" customFormat="false" ht="15" hidden="false" customHeight="false" outlineLevel="0" collapsed="false">
      <c r="A27" s="28" t="s">
        <v>2141</v>
      </c>
      <c r="B27" s="63"/>
      <c r="C27" s="68" t="n">
        <f aca="false">P27</f>
        <v>196.2</v>
      </c>
      <c r="E27" s="69" t="n">
        <f aca="false">History!$N$27+E25+E26</f>
        <v>150.4</v>
      </c>
      <c r="F27" s="80" t="n">
        <f aca="false">E27+F25+F26</f>
        <v>155.4</v>
      </c>
      <c r="G27" s="80" t="n">
        <f aca="false">F27+G25+G26</f>
        <v>159.7</v>
      </c>
      <c r="H27" s="80" t="n">
        <f aca="false">G27+H25+H26</f>
        <v>163.9</v>
      </c>
      <c r="I27" s="80" t="n">
        <f aca="false">H27+I25+I26</f>
        <v>167.7</v>
      </c>
      <c r="J27" s="80" t="n">
        <f aca="false">I27+J25+J26</f>
        <v>172.2</v>
      </c>
      <c r="K27" s="80" t="n">
        <f aca="false">J27+K25+K26</f>
        <v>175.2</v>
      </c>
      <c r="L27" s="80" t="n">
        <f aca="false">K27+L25+L26</f>
        <v>177.9</v>
      </c>
      <c r="M27" s="80" t="n">
        <f aca="false">L27+M25+M26</f>
        <v>182.9</v>
      </c>
      <c r="N27" s="80" t="n">
        <f aca="false">M27+N25+N26</f>
        <v>188.3</v>
      </c>
      <c r="O27" s="80" t="n">
        <f aca="false">N27+O25+O26</f>
        <v>192.6</v>
      </c>
      <c r="P27" s="80" t="n">
        <f aca="false">O27+P25+P26</f>
        <v>196.2</v>
      </c>
    </row>
    <row r="28" customFormat="false" ht="15" hidden="false" customHeight="false" outlineLevel="0" collapsed="false">
      <c r="A28" s="22" t="s">
        <v>2252</v>
      </c>
      <c r="B28" s="23"/>
      <c r="C28" s="23"/>
      <c r="D28" s="23"/>
      <c r="E28" s="23"/>
      <c r="F28" s="23"/>
      <c r="G28" s="23"/>
      <c r="H28" s="23"/>
      <c r="I28" s="23"/>
      <c r="J28" s="23"/>
      <c r="K28" s="23"/>
      <c r="L28" s="23"/>
      <c r="M28" s="23"/>
      <c r="N28" s="23"/>
      <c r="O28" s="23"/>
      <c r="P28" s="23"/>
    </row>
    <row r="29" customFormat="false" ht="15" hidden="false" customHeight="false" outlineLevel="0" collapsed="false">
      <c r="A29" s="28" t="s">
        <v>732</v>
      </c>
      <c r="B29" s="63" t="s">
        <v>2249</v>
      </c>
      <c r="C29" s="64" t="n">
        <f aca="false">SUM(E29:P29)</f>
        <v>31000</v>
      </c>
      <c r="E29" s="110" t="n">
        <v>0</v>
      </c>
      <c r="F29" s="110" t="n">
        <v>0</v>
      </c>
      <c r="G29" s="110" t="n">
        <v>9000</v>
      </c>
      <c r="H29" s="110" t="n">
        <v>0</v>
      </c>
      <c r="I29" s="110" t="n">
        <v>0</v>
      </c>
      <c r="J29" s="110" t="n">
        <v>7000</v>
      </c>
      <c r="K29" s="110" t="n">
        <v>0</v>
      </c>
      <c r="L29" s="110" t="n">
        <v>0</v>
      </c>
      <c r="M29" s="110" t="n">
        <v>7000</v>
      </c>
      <c r="N29" s="110" t="n">
        <v>0</v>
      </c>
      <c r="O29" s="110" t="n">
        <v>8000</v>
      </c>
      <c r="P29" s="110" t="n">
        <v>0</v>
      </c>
    </row>
    <row r="30" customFormat="false" ht="15" hidden="false" customHeight="false" outlineLevel="0" collapsed="false">
      <c r="A30" s="28" t="s">
        <v>733</v>
      </c>
      <c r="B30" s="63" t="s">
        <v>2249</v>
      </c>
      <c r="C30" s="64" t="n">
        <f aca="false">SUM(E30:P30)</f>
        <v>6144</v>
      </c>
      <c r="E30" s="110" t="n">
        <v>1399</v>
      </c>
      <c r="F30" s="110" t="n">
        <v>284</v>
      </c>
      <c r="G30" s="110" t="n">
        <v>963</v>
      </c>
      <c r="H30" s="110" t="n">
        <v>210</v>
      </c>
      <c r="I30" s="110" t="n">
        <v>507</v>
      </c>
      <c r="J30" s="110" t="n">
        <v>500</v>
      </c>
      <c r="K30" s="110" t="n">
        <v>198</v>
      </c>
      <c r="L30" s="110" t="n">
        <v>0</v>
      </c>
      <c r="M30" s="110" t="n">
        <v>960</v>
      </c>
      <c r="N30" s="110" t="n">
        <v>339</v>
      </c>
      <c r="O30" s="110" t="n">
        <v>784</v>
      </c>
      <c r="P30" s="110" t="n">
        <v>0</v>
      </c>
    </row>
    <row r="31" customFormat="false" ht="15" hidden="false" customHeight="false" outlineLevel="0" collapsed="false">
      <c r="A31" s="28" t="s">
        <v>734</v>
      </c>
      <c r="B31" s="63" t="s">
        <v>2249</v>
      </c>
      <c r="C31" s="64" t="n">
        <f aca="false">SUM(E31:P31)</f>
        <v>4016</v>
      </c>
      <c r="E31" s="110" t="n">
        <v>815</v>
      </c>
      <c r="F31" s="110" t="n">
        <v>207</v>
      </c>
      <c r="G31" s="110" t="n">
        <v>619</v>
      </c>
      <c r="H31" s="110" t="n">
        <v>153</v>
      </c>
      <c r="I31" s="110" t="n">
        <v>322</v>
      </c>
      <c r="J31" s="110" t="n">
        <v>394</v>
      </c>
      <c r="K31" s="110" t="n">
        <v>144</v>
      </c>
      <c r="L31" s="110" t="n">
        <v>0</v>
      </c>
      <c r="M31" s="110" t="n">
        <v>595</v>
      </c>
      <c r="N31" s="110" t="n">
        <v>247</v>
      </c>
      <c r="O31" s="110" t="n">
        <v>520</v>
      </c>
      <c r="P31" s="110" t="n">
        <v>0</v>
      </c>
    </row>
    <row r="32" customFormat="false" ht="15" hidden="false" customHeight="false" outlineLevel="0" collapsed="false">
      <c r="A32" s="28" t="s">
        <v>735</v>
      </c>
      <c r="B32" s="63" t="s">
        <v>2249</v>
      </c>
      <c r="C32" s="64" t="n">
        <f aca="false">SUM(E32:P32)</f>
        <v>0</v>
      </c>
      <c r="E32" s="110" t="n">
        <v>0</v>
      </c>
      <c r="F32" s="110" t="n">
        <v>0</v>
      </c>
      <c r="G32" s="110" t="n">
        <v>0</v>
      </c>
      <c r="H32" s="110" t="n">
        <v>0</v>
      </c>
      <c r="I32" s="110" t="n">
        <v>0</v>
      </c>
      <c r="J32" s="110" t="n">
        <v>0</v>
      </c>
      <c r="K32" s="110" t="n">
        <v>0</v>
      </c>
      <c r="L32" s="110" t="n">
        <v>0</v>
      </c>
      <c r="M32" s="110" t="n">
        <v>0</v>
      </c>
      <c r="N32" s="110" t="n">
        <v>0</v>
      </c>
      <c r="O32" s="110" t="n">
        <v>0</v>
      </c>
      <c r="P32" s="110" t="n">
        <v>0</v>
      </c>
    </row>
    <row r="33" customFormat="false" ht="15" hidden="false" customHeight="false" outlineLevel="0" collapsed="false">
      <c r="A33" s="28" t="s">
        <v>736</v>
      </c>
      <c r="B33" s="63" t="s">
        <v>2249</v>
      </c>
      <c r="C33" s="64" t="n">
        <f aca="false">SUM(E33:P33)</f>
        <v>0</v>
      </c>
      <c r="E33" s="110" t="n">
        <v>0</v>
      </c>
      <c r="F33" s="110" t="n">
        <v>0</v>
      </c>
      <c r="G33" s="110" t="n">
        <v>0</v>
      </c>
      <c r="H33" s="110" t="n">
        <v>0</v>
      </c>
      <c r="I33" s="110" t="n">
        <v>0</v>
      </c>
      <c r="J33" s="110" t="n">
        <v>0</v>
      </c>
      <c r="K33" s="110" t="n">
        <v>0</v>
      </c>
      <c r="L33" s="110" t="n">
        <v>0</v>
      </c>
      <c r="M33" s="110" t="n">
        <v>0</v>
      </c>
      <c r="N33" s="110" t="n">
        <v>0</v>
      </c>
      <c r="O33" s="110" t="n">
        <v>0</v>
      </c>
      <c r="P33" s="110" t="n">
        <v>0</v>
      </c>
    </row>
    <row r="34" customFormat="false" ht="15" hidden="false" customHeight="false" outlineLevel="0" collapsed="false">
      <c r="A34" s="59" t="s">
        <v>737</v>
      </c>
      <c r="B34" s="60" t="s">
        <v>2250</v>
      </c>
      <c r="C34" s="61" t="n">
        <f aca="false">P34</f>
        <v>174988.86</v>
      </c>
      <c r="D34" s="153"/>
      <c r="E34" s="62" t="n">
        <f aca="false">History!$N$36+E29+E30+E31+E32+E33</f>
        <v>136042.86</v>
      </c>
      <c r="F34" s="61" t="n">
        <f aca="false">E34+F29+F30+F31+F32+F33</f>
        <v>136533.86</v>
      </c>
      <c r="G34" s="61" t="n">
        <f aca="false">F34+G29+G30+G31+G32+G33</f>
        <v>147115.86</v>
      </c>
      <c r="H34" s="61" t="n">
        <f aca="false">G34+H29+H30+H31+H32+H33</f>
        <v>147478.86</v>
      </c>
      <c r="I34" s="61" t="n">
        <f aca="false">H34+I29+I30+I31+I32+I33</f>
        <v>148307.86</v>
      </c>
      <c r="J34" s="61" t="n">
        <f aca="false">I34+J29+J30+J31+J32+J33</f>
        <v>156201.86</v>
      </c>
      <c r="K34" s="61" t="n">
        <f aca="false">J34+K29+K30+K31+K32+K33</f>
        <v>156543.86</v>
      </c>
      <c r="L34" s="61" t="n">
        <f aca="false">K34+L29+L30+L31+L32+L33</f>
        <v>156543.86</v>
      </c>
      <c r="M34" s="61" t="n">
        <f aca="false">L34+M29+M30+M31+M32+M33</f>
        <v>165098.86</v>
      </c>
      <c r="N34" s="61" t="n">
        <f aca="false">M34+N29+N30+N31+N32+N33</f>
        <v>165684.86</v>
      </c>
      <c r="O34" s="61" t="n">
        <f aca="false">N34+O29+O30+O31+O32+O33</f>
        <v>174988.86</v>
      </c>
      <c r="P34" s="61" t="n">
        <f aca="false">O34+P29+P30+P31+P32+P33</f>
        <v>174988.86</v>
      </c>
    </row>
    <row r="35" customFormat="false" ht="15" hidden="false" customHeight="false" outlineLevel="0" collapsed="false">
      <c r="A35" s="28" t="s">
        <v>739</v>
      </c>
      <c r="B35" s="63" t="s">
        <v>2249</v>
      </c>
      <c r="C35" s="68" t="n">
        <f aca="false">SUM(E35:P35)</f>
        <v>4</v>
      </c>
      <c r="E35" s="140" t="n">
        <v>0</v>
      </c>
      <c r="F35" s="140" t="n">
        <v>0</v>
      </c>
      <c r="G35" s="140" t="n">
        <v>1</v>
      </c>
      <c r="H35" s="140" t="n">
        <v>0</v>
      </c>
      <c r="I35" s="140" t="n">
        <v>0</v>
      </c>
      <c r="J35" s="140" t="n">
        <v>1</v>
      </c>
      <c r="K35" s="140" t="n">
        <v>0</v>
      </c>
      <c r="L35" s="140" t="n">
        <v>0</v>
      </c>
      <c r="M35" s="140" t="n">
        <v>1</v>
      </c>
      <c r="N35" s="140" t="n">
        <v>0</v>
      </c>
      <c r="O35" s="140" t="n">
        <v>1</v>
      </c>
      <c r="P35" s="140" t="n">
        <v>0</v>
      </c>
    </row>
    <row r="36" customFormat="false" ht="15" hidden="false" customHeight="false" outlineLevel="0" collapsed="false">
      <c r="A36" s="28" t="s">
        <v>740</v>
      </c>
      <c r="B36" s="63" t="s">
        <v>2249</v>
      </c>
      <c r="C36" s="68" t="n">
        <f aca="false">SUM(E36:P36)</f>
        <v>0</v>
      </c>
      <c r="E36" s="140" t="n">
        <v>0</v>
      </c>
      <c r="F36" s="140" t="n">
        <v>0</v>
      </c>
      <c r="G36" s="140" t="n">
        <v>0</v>
      </c>
      <c r="H36" s="140" t="n">
        <v>0</v>
      </c>
      <c r="I36" s="140" t="n">
        <v>0</v>
      </c>
      <c r="J36" s="140" t="n">
        <v>0</v>
      </c>
      <c r="K36" s="140" t="n">
        <v>0</v>
      </c>
      <c r="L36" s="140" t="n">
        <v>0</v>
      </c>
      <c r="M36" s="140" t="n">
        <v>0</v>
      </c>
      <c r="N36" s="140" t="n">
        <v>0</v>
      </c>
      <c r="O36" s="140" t="n">
        <v>0</v>
      </c>
      <c r="P36" s="140" t="n">
        <v>0</v>
      </c>
    </row>
    <row r="37" customFormat="false" ht="15" hidden="false" customHeight="false" outlineLevel="0" collapsed="false">
      <c r="A37" s="28" t="s">
        <v>2141</v>
      </c>
      <c r="B37" s="63"/>
      <c r="C37" s="68" t="n">
        <f aca="false">P37</f>
        <v>24</v>
      </c>
      <c r="E37" s="69" t="n">
        <f aca="false">History!$N$39+E35+E36</f>
        <v>20</v>
      </c>
      <c r="F37" s="80" t="n">
        <f aca="false">E37+F35+F36</f>
        <v>20</v>
      </c>
      <c r="G37" s="80" t="n">
        <f aca="false">F37+G35+G36</f>
        <v>21</v>
      </c>
      <c r="H37" s="80" t="n">
        <f aca="false">G37+H35+H36</f>
        <v>21</v>
      </c>
      <c r="I37" s="80" t="n">
        <f aca="false">H37+I35+I36</f>
        <v>21</v>
      </c>
      <c r="J37" s="80" t="n">
        <f aca="false">I37+J35+J36</f>
        <v>22</v>
      </c>
      <c r="K37" s="80" t="n">
        <f aca="false">J37+K35+K36</f>
        <v>22</v>
      </c>
      <c r="L37" s="80" t="n">
        <f aca="false">K37+L35+L36</f>
        <v>22</v>
      </c>
      <c r="M37" s="80" t="n">
        <f aca="false">L37+M35+M36</f>
        <v>23</v>
      </c>
      <c r="N37" s="80" t="n">
        <f aca="false">M37+N35+N36</f>
        <v>23</v>
      </c>
      <c r="O37" s="80" t="n">
        <f aca="false">N37+O35+O36</f>
        <v>24</v>
      </c>
      <c r="P37" s="80" t="n">
        <f aca="false">O37+P35+P36</f>
        <v>24</v>
      </c>
    </row>
    <row r="38" customFormat="false" ht="15" hidden="false" customHeight="false" outlineLevel="0" collapsed="false">
      <c r="A38" s="22" t="s">
        <v>2253</v>
      </c>
      <c r="B38" s="23"/>
      <c r="C38" s="23"/>
      <c r="D38" s="23"/>
      <c r="E38" s="23"/>
      <c r="F38" s="23"/>
      <c r="G38" s="23"/>
      <c r="H38" s="23"/>
      <c r="I38" s="23"/>
      <c r="J38" s="23"/>
      <c r="K38" s="23"/>
      <c r="L38" s="23"/>
      <c r="M38" s="23"/>
      <c r="N38" s="23"/>
      <c r="O38" s="23"/>
      <c r="P38" s="23"/>
    </row>
    <row r="39" customFormat="false" ht="15" hidden="false" customHeight="false" outlineLevel="0" collapsed="false">
      <c r="A39" s="59" t="s">
        <v>530</v>
      </c>
      <c r="B39" s="60"/>
      <c r="C39" s="61" t="n">
        <f aca="false">P39</f>
        <v>632809.26</v>
      </c>
      <c r="D39" s="153"/>
      <c r="E39" s="61" t="n">
        <f aca="false">E14+E24+E34</f>
        <v>476747.26</v>
      </c>
      <c r="F39" s="61" t="n">
        <f aca="false">F14+F24+F34</f>
        <v>489577.26</v>
      </c>
      <c r="G39" s="61" t="n">
        <f aca="false">G14+G24+G34</f>
        <v>511672.26</v>
      </c>
      <c r="H39" s="61" t="n">
        <f aca="false">H14+H24+H34</f>
        <v>523121.26</v>
      </c>
      <c r="I39" s="61" t="n">
        <f aca="false">I14+I24+I34</f>
        <v>534736.26</v>
      </c>
      <c r="J39" s="61" t="n">
        <f aca="false">J14+J24+J34</f>
        <v>553254.26</v>
      </c>
      <c r="K39" s="61" t="n">
        <f aca="false">K14+K24+K34</f>
        <v>562453.26</v>
      </c>
      <c r="L39" s="61" t="n">
        <f aca="false">L14+L24+L34</f>
        <v>569282.26</v>
      </c>
      <c r="M39" s="61" t="n">
        <f aca="false">M14+M24+M34</f>
        <v>590158.26</v>
      </c>
      <c r="N39" s="61" t="n">
        <f aca="false">N14+N24+N34</f>
        <v>603531.26</v>
      </c>
      <c r="O39" s="61" t="n">
        <f aca="false">O14+O24+O34</f>
        <v>623875.26</v>
      </c>
      <c r="P39" s="61" t="n">
        <f aca="false">P14+P24+P34</f>
        <v>632809.26</v>
      </c>
    </row>
    <row r="40" customFormat="false" ht="15" hidden="false" customHeight="false" outlineLevel="0" collapsed="false">
      <c r="A40" s="28" t="s">
        <v>334</v>
      </c>
      <c r="B40" s="63"/>
      <c r="C40" s="64" t="n">
        <f aca="false">P40</f>
        <v>7593711.12</v>
      </c>
      <c r="E40" s="74" t="n">
        <f aca="false">12*E39</f>
        <v>5720967.12</v>
      </c>
      <c r="F40" s="74" t="n">
        <f aca="false">12*F39</f>
        <v>5874927.12</v>
      </c>
      <c r="G40" s="74" t="n">
        <f aca="false">12*G39</f>
        <v>6140067.12</v>
      </c>
      <c r="H40" s="74" t="n">
        <f aca="false">12*H39</f>
        <v>6277455.12</v>
      </c>
      <c r="I40" s="74" t="n">
        <f aca="false">12*I39</f>
        <v>6416835.12</v>
      </c>
      <c r="J40" s="74" t="n">
        <f aca="false">12*J39</f>
        <v>6639051.12</v>
      </c>
      <c r="K40" s="74" t="n">
        <f aca="false">12*K39</f>
        <v>6749439.12</v>
      </c>
      <c r="L40" s="74" t="n">
        <f aca="false">12*L39</f>
        <v>6831387.12</v>
      </c>
      <c r="M40" s="74" t="n">
        <f aca="false">12*M39</f>
        <v>7081899.12</v>
      </c>
      <c r="N40" s="74" t="n">
        <f aca="false">12*N39</f>
        <v>7242375.12</v>
      </c>
      <c r="O40" s="74" t="n">
        <f aca="false">12*O39</f>
        <v>7486503.12</v>
      </c>
      <c r="P40" s="74" t="n">
        <f aca="false">12*P39</f>
        <v>7593711.12</v>
      </c>
    </row>
    <row r="41" customFormat="false" ht="15" hidden="false" customHeight="false" outlineLevel="0" collapsed="false">
      <c r="A41" s="28" t="s">
        <v>534</v>
      </c>
      <c r="B41" s="63"/>
      <c r="C41" s="68" t="n">
        <f aca="false">P41</f>
        <v>1160.4</v>
      </c>
      <c r="E41" s="80" t="n">
        <f aca="false">E17+E27+E37</f>
        <v>926.9</v>
      </c>
      <c r="F41" s="80" t="n">
        <f aca="false">F17+F27+F37</f>
        <v>954.5</v>
      </c>
      <c r="G41" s="80" t="n">
        <f aca="false">G17+G27+G37</f>
        <v>980.8</v>
      </c>
      <c r="H41" s="80" t="n">
        <f aca="false">H17+H27+H37</f>
        <v>1003.5</v>
      </c>
      <c r="I41" s="80" t="n">
        <f aca="false">I17+I27+I37</f>
        <v>1025.5</v>
      </c>
      <c r="J41" s="80" t="n">
        <f aca="false">J17+J27+J37</f>
        <v>1047.1</v>
      </c>
      <c r="K41" s="80" t="n">
        <f aca="false">K17+K27+K37</f>
        <v>1062.3</v>
      </c>
      <c r="L41" s="80" t="n">
        <f aca="false">L17+L27+L37</f>
        <v>1070.9</v>
      </c>
      <c r="M41" s="80" t="n">
        <f aca="false">M17+M27+M37</f>
        <v>1097.4</v>
      </c>
      <c r="N41" s="80" t="n">
        <f aca="false">N17+N27+N37</f>
        <v>1124.1</v>
      </c>
      <c r="O41" s="80" t="n">
        <f aca="false">O17+O27+O37</f>
        <v>1146.4</v>
      </c>
      <c r="P41" s="80" t="n">
        <f aca="false">P17+P27+P37</f>
        <v>1160.4</v>
      </c>
    </row>
    <row r="42" customFormat="false" ht="15" hidden="false" customHeight="false" outlineLevel="0" collapsed="false">
      <c r="A42" s="22" t="s">
        <v>368</v>
      </c>
      <c r="B42" s="23"/>
      <c r="C42" s="23"/>
      <c r="D42" s="23"/>
      <c r="E42" s="23"/>
      <c r="F42" s="23"/>
      <c r="G42" s="23"/>
      <c r="H42" s="23"/>
      <c r="I42" s="23"/>
      <c r="J42" s="23"/>
      <c r="K42" s="23"/>
      <c r="L42" s="23"/>
      <c r="M42" s="23"/>
      <c r="N42" s="23"/>
      <c r="O42" s="23"/>
      <c r="P42" s="23"/>
    </row>
    <row r="43" customFormat="false" ht="15" hidden="false" customHeight="false" outlineLevel="0" collapsed="false">
      <c r="A43" s="28" t="s">
        <v>371</v>
      </c>
      <c r="B43" s="63" t="s">
        <v>2254</v>
      </c>
      <c r="C43" s="64" t="n">
        <f aca="false">SUM(E43:P43)</f>
        <v>2482612.96</v>
      </c>
      <c r="E43" s="74" t="n">
        <f aca="false">E14</f>
        <v>179486.83</v>
      </c>
      <c r="F43" s="74" t="n">
        <f aca="false">F14</f>
        <v>185372.83</v>
      </c>
      <c r="G43" s="74" t="n">
        <f aca="false">G14</f>
        <v>190955.83</v>
      </c>
      <c r="H43" s="74" t="n">
        <f aca="false">H14</f>
        <v>196060.83</v>
      </c>
      <c r="I43" s="74" t="n">
        <f aca="false">I14</f>
        <v>201131.83</v>
      </c>
      <c r="J43" s="74" t="n">
        <f aca="false">J14</f>
        <v>205776.83</v>
      </c>
      <c r="K43" s="74" t="n">
        <f aca="false">K14</f>
        <v>209635.83</v>
      </c>
      <c r="L43" s="74" t="n">
        <f aca="false">L14</f>
        <v>212206.83</v>
      </c>
      <c r="M43" s="74" t="n">
        <f aca="false">M14</f>
        <v>217799.83</v>
      </c>
      <c r="N43" s="74" t="n">
        <f aca="false">N14</f>
        <v>223582.83</v>
      </c>
      <c r="O43" s="74" t="n">
        <f aca="false">O14</f>
        <v>228520.83</v>
      </c>
      <c r="P43" s="74" t="n">
        <f aca="false">P14</f>
        <v>232081.83</v>
      </c>
    </row>
    <row r="44" customFormat="false" ht="15" hidden="false" customHeight="false" outlineLevel="0" collapsed="false">
      <c r="A44" s="28" t="s">
        <v>372</v>
      </c>
      <c r="B44" s="63" t="s">
        <v>2254</v>
      </c>
      <c r="C44" s="64" t="n">
        <f aca="false">SUM(E44:P44)</f>
        <v>2323074.84</v>
      </c>
      <c r="E44" s="74" t="n">
        <f aca="false">E24</f>
        <v>161217.57</v>
      </c>
      <c r="F44" s="74" t="n">
        <f aca="false">F24</f>
        <v>167670.57</v>
      </c>
      <c r="G44" s="74" t="n">
        <f aca="false">G24</f>
        <v>173600.57</v>
      </c>
      <c r="H44" s="74" t="n">
        <f aca="false">H24</f>
        <v>179581.57</v>
      </c>
      <c r="I44" s="74" t="n">
        <f aca="false">I24</f>
        <v>185296.57</v>
      </c>
      <c r="J44" s="74" t="n">
        <f aca="false">J24</f>
        <v>191275.57</v>
      </c>
      <c r="K44" s="74" t="n">
        <f aca="false">K24</f>
        <v>196273.57</v>
      </c>
      <c r="L44" s="74" t="n">
        <f aca="false">L24</f>
        <v>200531.57</v>
      </c>
      <c r="M44" s="74" t="n">
        <f aca="false">M24</f>
        <v>207259.57</v>
      </c>
      <c r="N44" s="74" t="n">
        <f aca="false">N24</f>
        <v>214263.57</v>
      </c>
      <c r="O44" s="74" t="n">
        <f aca="false">O24</f>
        <v>220365.57</v>
      </c>
      <c r="P44" s="74" t="n">
        <f aca="false">P24</f>
        <v>225738.57</v>
      </c>
    </row>
    <row r="45" customFormat="false" ht="15" hidden="false" customHeight="false" outlineLevel="0" collapsed="false">
      <c r="A45" s="28" t="s">
        <v>373</v>
      </c>
      <c r="B45" s="63" t="s">
        <v>2254</v>
      </c>
      <c r="C45" s="64" t="n">
        <f aca="false">SUM(E45:P45)</f>
        <v>1865530.32</v>
      </c>
      <c r="E45" s="74" t="n">
        <f aca="false">E34</f>
        <v>136042.86</v>
      </c>
      <c r="F45" s="74" t="n">
        <f aca="false">F34</f>
        <v>136533.86</v>
      </c>
      <c r="G45" s="74" t="n">
        <f aca="false">G34</f>
        <v>147115.86</v>
      </c>
      <c r="H45" s="74" t="n">
        <f aca="false">H34</f>
        <v>147478.86</v>
      </c>
      <c r="I45" s="74" t="n">
        <f aca="false">I34</f>
        <v>148307.86</v>
      </c>
      <c r="J45" s="74" t="n">
        <f aca="false">J34</f>
        <v>156201.86</v>
      </c>
      <c r="K45" s="74" t="n">
        <f aca="false">K34</f>
        <v>156543.86</v>
      </c>
      <c r="L45" s="74" t="n">
        <f aca="false">L34</f>
        <v>156543.86</v>
      </c>
      <c r="M45" s="74" t="n">
        <f aca="false">M34</f>
        <v>165098.86</v>
      </c>
      <c r="N45" s="74" t="n">
        <f aca="false">N34</f>
        <v>165684.86</v>
      </c>
      <c r="O45" s="74" t="n">
        <f aca="false">O34</f>
        <v>174988.86</v>
      </c>
      <c r="P45" s="74" t="n">
        <f aca="false">P34</f>
        <v>174988.86</v>
      </c>
    </row>
    <row r="46" customFormat="false" ht="15" hidden="false" customHeight="false" outlineLevel="0" collapsed="false">
      <c r="A46" s="59" t="s">
        <v>374</v>
      </c>
      <c r="B46" s="60"/>
      <c r="C46" s="61" t="n">
        <f aca="false">SUM(E46:P46)</f>
        <v>6671218.12</v>
      </c>
      <c r="D46" s="153"/>
      <c r="E46" s="61" t="n">
        <f aca="false">E43+E44+E45</f>
        <v>476747.26</v>
      </c>
      <c r="F46" s="61" t="n">
        <f aca="false">F43+F44+F45</f>
        <v>489577.26</v>
      </c>
      <c r="G46" s="61" t="n">
        <f aca="false">G43+G44+G45</f>
        <v>511672.26</v>
      </c>
      <c r="H46" s="61" t="n">
        <f aca="false">H43+H44+H45</f>
        <v>523121.26</v>
      </c>
      <c r="I46" s="61" t="n">
        <f aca="false">I43+I44+I45</f>
        <v>534736.26</v>
      </c>
      <c r="J46" s="61" t="n">
        <f aca="false">J43+J44+J45</f>
        <v>553254.26</v>
      </c>
      <c r="K46" s="61" t="n">
        <f aca="false">K43+K44+K45</f>
        <v>562453.26</v>
      </c>
      <c r="L46" s="61" t="n">
        <f aca="false">L43+L44+L45</f>
        <v>569282.26</v>
      </c>
      <c r="M46" s="61" t="n">
        <f aca="false">M43+M44+M45</f>
        <v>590158.26</v>
      </c>
      <c r="N46" s="61" t="n">
        <f aca="false">N43+N44+N45</f>
        <v>603531.26</v>
      </c>
      <c r="O46" s="61" t="n">
        <f aca="false">O43+O44+O45</f>
        <v>623875.26</v>
      </c>
      <c r="P46" s="61" t="n">
        <f aca="false">P43+P44+P45</f>
        <v>632809.26</v>
      </c>
    </row>
    <row r="47" customFormat="false" ht="15" hidden="false" customHeight="false" outlineLevel="0" collapsed="false">
      <c r="A47" s="28" t="s">
        <v>2255</v>
      </c>
      <c r="B47" s="63" t="s">
        <v>2249</v>
      </c>
      <c r="C47" s="64" t="n">
        <f aca="false">SUM(E47:P47)</f>
        <v>195819</v>
      </c>
      <c r="E47" s="110" t="n">
        <v>12493</v>
      </c>
      <c r="F47" s="110" t="n">
        <v>13541</v>
      </c>
      <c r="G47" s="110" t="n">
        <v>14587</v>
      </c>
      <c r="H47" s="110" t="n">
        <v>15343</v>
      </c>
      <c r="I47" s="110" t="n">
        <v>14582</v>
      </c>
      <c r="J47" s="110" t="n">
        <v>17096</v>
      </c>
      <c r="K47" s="110" t="n">
        <v>16078</v>
      </c>
      <c r="L47" s="110" t="n">
        <v>16064</v>
      </c>
      <c r="M47" s="110" t="n">
        <v>17478</v>
      </c>
      <c r="N47" s="110" t="n">
        <v>18773</v>
      </c>
      <c r="O47" s="110" t="n">
        <v>19701</v>
      </c>
      <c r="P47" s="110" t="n">
        <v>20083</v>
      </c>
    </row>
    <row r="48" customFormat="false" ht="15" hidden="false" customHeight="false" outlineLevel="0" collapsed="false">
      <c r="A48" s="59" t="s">
        <v>376</v>
      </c>
      <c r="B48" s="60"/>
      <c r="C48" s="61" t="n">
        <f aca="false">SUM(E48:P48)</f>
        <v>6867037.12</v>
      </c>
      <c r="D48" s="153"/>
      <c r="E48" s="61" t="n">
        <f aca="false">E46+E47</f>
        <v>489240.26</v>
      </c>
      <c r="F48" s="61" t="n">
        <f aca="false">F46+F47</f>
        <v>503118.26</v>
      </c>
      <c r="G48" s="61" t="n">
        <f aca="false">G46+G47</f>
        <v>526259.26</v>
      </c>
      <c r="H48" s="61" t="n">
        <f aca="false">H46+H47</f>
        <v>538464.26</v>
      </c>
      <c r="I48" s="61" t="n">
        <f aca="false">I46+I47</f>
        <v>549318.26</v>
      </c>
      <c r="J48" s="61" t="n">
        <f aca="false">J46+J47</f>
        <v>570350.26</v>
      </c>
      <c r="K48" s="61" t="n">
        <f aca="false">K46+K47</f>
        <v>578531.26</v>
      </c>
      <c r="L48" s="61" t="n">
        <f aca="false">L46+L47</f>
        <v>585346.26</v>
      </c>
      <c r="M48" s="61" t="n">
        <f aca="false">M46+M47</f>
        <v>607636.26</v>
      </c>
      <c r="N48" s="61" t="n">
        <f aca="false">N46+N47</f>
        <v>622304.26</v>
      </c>
      <c r="O48" s="61" t="n">
        <f aca="false">O46+O47</f>
        <v>643576.26</v>
      </c>
      <c r="P48" s="61" t="n">
        <f aca="false">P46+P47</f>
        <v>652892.26</v>
      </c>
    </row>
    <row r="49" customFormat="false" ht="15" hidden="false" customHeight="false" outlineLevel="0" collapsed="false">
      <c r="A49" s="28" t="s">
        <v>379</v>
      </c>
      <c r="B49" s="63" t="s">
        <v>2249</v>
      </c>
      <c r="C49" s="64" t="n">
        <f aca="false">SUM(E49:P49)</f>
        <v>-338809</v>
      </c>
      <c r="E49" s="110" t="n">
        <v>-25779</v>
      </c>
      <c r="F49" s="110" t="n">
        <v>-26177</v>
      </c>
      <c r="G49" s="110" t="n">
        <v>-26862</v>
      </c>
      <c r="H49" s="110" t="n">
        <v>-27217</v>
      </c>
      <c r="I49" s="110" t="n">
        <v>-27577</v>
      </c>
      <c r="J49" s="110" t="n">
        <v>-28151</v>
      </c>
      <c r="K49" s="110" t="n">
        <v>-28436</v>
      </c>
      <c r="L49" s="110" t="n">
        <v>-28648</v>
      </c>
      <c r="M49" s="110" t="n">
        <v>-29295</v>
      </c>
      <c r="N49" s="110" t="n">
        <v>-29710</v>
      </c>
      <c r="O49" s="110" t="n">
        <v>-30340</v>
      </c>
      <c r="P49" s="110" t="n">
        <v>-30617</v>
      </c>
    </row>
    <row r="50" customFormat="false" ht="15" hidden="false" customHeight="false" outlineLevel="0" collapsed="false">
      <c r="A50" s="28" t="s">
        <v>536</v>
      </c>
      <c r="B50" s="63" t="s">
        <v>2249</v>
      </c>
      <c r="C50" s="64" t="n">
        <f aca="false">SUM(E50:P50)</f>
        <v>-106741</v>
      </c>
      <c r="E50" s="110" t="n">
        <v>-7628</v>
      </c>
      <c r="F50" s="110" t="n">
        <v>-7833</v>
      </c>
      <c r="G50" s="110" t="n">
        <v>-8187</v>
      </c>
      <c r="H50" s="110" t="n">
        <v>-8370</v>
      </c>
      <c r="I50" s="110" t="n">
        <v>-8556</v>
      </c>
      <c r="J50" s="110" t="n">
        <v>-8852</v>
      </c>
      <c r="K50" s="110" t="n">
        <v>-8999</v>
      </c>
      <c r="L50" s="110" t="n">
        <v>-9109</v>
      </c>
      <c r="M50" s="110" t="n">
        <v>-9443</v>
      </c>
      <c r="N50" s="110" t="n">
        <v>-9657</v>
      </c>
      <c r="O50" s="110" t="n">
        <v>-9982</v>
      </c>
      <c r="P50" s="110" t="n">
        <v>-10125</v>
      </c>
    </row>
    <row r="51" customFormat="false" ht="15" hidden="false" customHeight="false" outlineLevel="0" collapsed="false">
      <c r="A51" s="28" t="s">
        <v>537</v>
      </c>
      <c r="B51" s="63" t="s">
        <v>2249</v>
      </c>
      <c r="C51" s="64" t="n">
        <f aca="false">SUM(E51:P51)</f>
        <v>-74377</v>
      </c>
      <c r="E51" s="110" t="n">
        <v>-5381</v>
      </c>
      <c r="F51" s="110" t="n">
        <v>-5557</v>
      </c>
      <c r="G51" s="110" t="n">
        <v>-5724</v>
      </c>
      <c r="H51" s="110" t="n">
        <v>-5876</v>
      </c>
      <c r="I51" s="110" t="n">
        <v>-6027</v>
      </c>
      <c r="J51" s="110" t="n">
        <v>-6166</v>
      </c>
      <c r="K51" s="110" t="n">
        <v>-6280</v>
      </c>
      <c r="L51" s="110" t="n">
        <v>-6356</v>
      </c>
      <c r="M51" s="110" t="n">
        <v>-6523</v>
      </c>
      <c r="N51" s="110" t="n">
        <v>-6696</v>
      </c>
      <c r="O51" s="110" t="n">
        <v>-6843</v>
      </c>
      <c r="P51" s="110" t="n">
        <v>-6948</v>
      </c>
    </row>
    <row r="52" customFormat="false" ht="15" hidden="false" customHeight="false" outlineLevel="0" collapsed="false">
      <c r="A52" s="28" t="s">
        <v>382</v>
      </c>
      <c r="B52" s="63" t="s">
        <v>2249</v>
      </c>
      <c r="C52" s="64" t="n">
        <f aca="false">SUM(E52:P52)</f>
        <v>-927474</v>
      </c>
      <c r="E52" s="110" t="n">
        <v>-67286</v>
      </c>
      <c r="F52" s="110" t="n">
        <v>-67286</v>
      </c>
      <c r="G52" s="110" t="n">
        <v>-71361</v>
      </c>
      <c r="H52" s="110" t="n">
        <v>-75986</v>
      </c>
      <c r="I52" s="110" t="n">
        <v>-78960</v>
      </c>
      <c r="J52" s="110" t="n">
        <v>-78960</v>
      </c>
      <c r="K52" s="110" t="n">
        <v>-78960</v>
      </c>
      <c r="L52" s="110" t="n">
        <v>-78960</v>
      </c>
      <c r="M52" s="110" t="n">
        <v>-78960</v>
      </c>
      <c r="N52" s="110" t="n">
        <v>-83585</v>
      </c>
      <c r="O52" s="110" t="n">
        <v>-83585</v>
      </c>
      <c r="P52" s="110" t="n">
        <v>-83585</v>
      </c>
    </row>
    <row r="53" customFormat="false" ht="15" hidden="false" customHeight="false" outlineLevel="0" collapsed="false">
      <c r="A53" s="59" t="s">
        <v>383</v>
      </c>
      <c r="B53" s="60"/>
      <c r="C53" s="61" t="n">
        <f aca="false">SUM(E53:P53)</f>
        <v>-1447401</v>
      </c>
      <c r="D53" s="153"/>
      <c r="E53" s="61" t="n">
        <f aca="false">SUM(E49:E52)</f>
        <v>-106074</v>
      </c>
      <c r="F53" s="61" t="n">
        <f aca="false">SUM(F49:F52)</f>
        <v>-106853</v>
      </c>
      <c r="G53" s="61" t="n">
        <f aca="false">SUM(G49:G52)</f>
        <v>-112134</v>
      </c>
      <c r="H53" s="61" t="n">
        <f aca="false">SUM(H49:H52)</f>
        <v>-117449</v>
      </c>
      <c r="I53" s="61" t="n">
        <f aca="false">SUM(I49:I52)</f>
        <v>-121120</v>
      </c>
      <c r="J53" s="61" t="n">
        <f aca="false">SUM(J49:J52)</f>
        <v>-122129</v>
      </c>
      <c r="K53" s="61" t="n">
        <f aca="false">SUM(K49:K52)</f>
        <v>-122675</v>
      </c>
      <c r="L53" s="61" t="n">
        <f aca="false">SUM(L49:L52)</f>
        <v>-123073</v>
      </c>
      <c r="M53" s="61" t="n">
        <f aca="false">SUM(M49:M52)</f>
        <v>-124221</v>
      </c>
      <c r="N53" s="61" t="n">
        <f aca="false">SUM(N49:N52)</f>
        <v>-129648</v>
      </c>
      <c r="O53" s="61" t="n">
        <f aca="false">SUM(O49:O52)</f>
        <v>-130750</v>
      </c>
      <c r="P53" s="61" t="n">
        <f aca="false">SUM(P49:P52)</f>
        <v>-131275</v>
      </c>
    </row>
    <row r="54" customFormat="false" ht="15" hidden="false" customHeight="false" outlineLevel="0" collapsed="false">
      <c r="A54" s="59" t="s">
        <v>384</v>
      </c>
      <c r="B54" s="60"/>
      <c r="C54" s="61" t="n">
        <f aca="false">SUM(E54:P54)</f>
        <v>5419636.12</v>
      </c>
      <c r="D54" s="153"/>
      <c r="E54" s="61" t="n">
        <f aca="false">E48+E53</f>
        <v>383166.26</v>
      </c>
      <c r="F54" s="61" t="n">
        <f aca="false">F48+F53</f>
        <v>396265.26</v>
      </c>
      <c r="G54" s="61" t="n">
        <f aca="false">G48+G53</f>
        <v>414125.26</v>
      </c>
      <c r="H54" s="61" t="n">
        <f aca="false">H48+H53</f>
        <v>421015.26</v>
      </c>
      <c r="I54" s="61" t="n">
        <f aca="false">I48+I53</f>
        <v>428198.26</v>
      </c>
      <c r="J54" s="61" t="n">
        <f aca="false">J48+J53</f>
        <v>448221.26</v>
      </c>
      <c r="K54" s="61" t="n">
        <f aca="false">K48+K53</f>
        <v>455856.26</v>
      </c>
      <c r="L54" s="61" t="n">
        <f aca="false">L48+L53</f>
        <v>462273.26</v>
      </c>
      <c r="M54" s="61" t="n">
        <f aca="false">M48+M53</f>
        <v>483415.26</v>
      </c>
      <c r="N54" s="61" t="n">
        <f aca="false">N48+N53</f>
        <v>492656.26</v>
      </c>
      <c r="O54" s="61" t="n">
        <f aca="false">O48+O53</f>
        <v>512826.26</v>
      </c>
      <c r="P54" s="61" t="n">
        <f aca="false">P48+P53</f>
        <v>521617.26</v>
      </c>
    </row>
    <row r="55" customFormat="false" ht="15" hidden="false" customHeight="false" outlineLevel="0" collapsed="false">
      <c r="A55" s="28" t="s">
        <v>539</v>
      </c>
      <c r="B55" s="63" t="s">
        <v>2249</v>
      </c>
      <c r="C55" s="64" t="n">
        <f aca="false">SUM(E55:P55)</f>
        <v>-2783068</v>
      </c>
      <c r="E55" s="110" t="n">
        <v>-200830</v>
      </c>
      <c r="F55" s="110" t="n">
        <v>-205676</v>
      </c>
      <c r="G55" s="110" t="n">
        <v>-216909</v>
      </c>
      <c r="H55" s="110" t="n">
        <v>-228362</v>
      </c>
      <c r="I55" s="110" t="n">
        <v>-234749</v>
      </c>
      <c r="J55" s="110" t="n">
        <v>-239594</v>
      </c>
      <c r="K55" s="110" t="n">
        <v>-239594</v>
      </c>
      <c r="L55" s="110" t="n">
        <v>-239594</v>
      </c>
      <c r="M55" s="110" t="n">
        <v>-244440</v>
      </c>
      <c r="N55" s="110" t="n">
        <v>-244440</v>
      </c>
      <c r="O55" s="110" t="n">
        <v>-244440</v>
      </c>
      <c r="P55" s="110" t="n">
        <v>-244440</v>
      </c>
    </row>
    <row r="56" customFormat="false" ht="15" hidden="false" customHeight="false" outlineLevel="0" collapsed="false">
      <c r="A56" s="28" t="s">
        <v>540</v>
      </c>
      <c r="B56" s="63" t="s">
        <v>2249</v>
      </c>
      <c r="C56" s="64" t="n">
        <f aca="false">SUM(E56:P56)</f>
        <v>715510</v>
      </c>
      <c r="E56" s="110" t="n">
        <v>51262</v>
      </c>
      <c r="F56" s="110" t="n">
        <v>52813</v>
      </c>
      <c r="G56" s="110" t="n">
        <v>56407</v>
      </c>
      <c r="H56" s="110" t="n">
        <v>57958</v>
      </c>
      <c r="I56" s="110" t="n">
        <v>60002</v>
      </c>
      <c r="J56" s="110" t="n">
        <v>61552</v>
      </c>
      <c r="K56" s="110" t="n">
        <v>61552</v>
      </c>
      <c r="L56" s="110" t="n">
        <v>61552</v>
      </c>
      <c r="M56" s="110" t="n">
        <v>63103</v>
      </c>
      <c r="N56" s="110" t="n">
        <v>63103</v>
      </c>
      <c r="O56" s="110" t="n">
        <v>63103</v>
      </c>
      <c r="P56" s="110" t="n">
        <v>63103</v>
      </c>
    </row>
    <row r="57" customFormat="false" ht="15" hidden="false" customHeight="false" outlineLevel="0" collapsed="false">
      <c r="A57" s="28" t="s">
        <v>541</v>
      </c>
      <c r="B57" s="63" t="s">
        <v>2249</v>
      </c>
      <c r="C57" s="64" t="n">
        <f aca="false">SUM(E57:P57)</f>
        <v>-1336147</v>
      </c>
      <c r="E57" s="110" t="n">
        <v>-94790</v>
      </c>
      <c r="F57" s="110" t="n">
        <v>-102939</v>
      </c>
      <c r="G57" s="110" t="n">
        <v>-107895</v>
      </c>
      <c r="H57" s="110" t="n">
        <v>-107895</v>
      </c>
      <c r="I57" s="110" t="n">
        <v>-112851</v>
      </c>
      <c r="J57" s="110" t="n">
        <v>-112851</v>
      </c>
      <c r="K57" s="110" t="n">
        <v>-112851</v>
      </c>
      <c r="L57" s="110" t="n">
        <v>-112851</v>
      </c>
      <c r="M57" s="110" t="n">
        <v>-117806</v>
      </c>
      <c r="N57" s="110" t="n">
        <v>-117806</v>
      </c>
      <c r="O57" s="110" t="n">
        <v>-117806</v>
      </c>
      <c r="P57" s="110" t="n">
        <v>-117806</v>
      </c>
    </row>
    <row r="58" customFormat="false" ht="15" hidden="false" customHeight="false" outlineLevel="0" collapsed="false">
      <c r="A58" s="28" t="s">
        <v>542</v>
      </c>
      <c r="B58" s="63" t="s">
        <v>2249</v>
      </c>
      <c r="C58" s="64" t="n">
        <f aca="false">SUM(E58:P58)</f>
        <v>-768000</v>
      </c>
      <c r="E58" s="110" t="n">
        <v>-64000</v>
      </c>
      <c r="F58" s="110" t="n">
        <v>-64000</v>
      </c>
      <c r="G58" s="110" t="n">
        <v>-64000</v>
      </c>
      <c r="H58" s="110" t="n">
        <v>-64000</v>
      </c>
      <c r="I58" s="110" t="n">
        <v>-64000</v>
      </c>
      <c r="J58" s="110" t="n">
        <v>-64000</v>
      </c>
      <c r="K58" s="110" t="n">
        <v>-64000</v>
      </c>
      <c r="L58" s="110" t="n">
        <v>-64000</v>
      </c>
      <c r="M58" s="110" t="n">
        <v>-64000</v>
      </c>
      <c r="N58" s="110" t="n">
        <v>-64000</v>
      </c>
      <c r="O58" s="110" t="n">
        <v>-64000</v>
      </c>
      <c r="P58" s="110" t="n">
        <v>-64000</v>
      </c>
    </row>
    <row r="59" customFormat="false" ht="15" hidden="false" customHeight="false" outlineLevel="0" collapsed="false">
      <c r="A59" s="28" t="s">
        <v>392</v>
      </c>
      <c r="B59" s="63" t="s">
        <v>2249</v>
      </c>
      <c r="C59" s="64" t="n">
        <f aca="false">SUM(E59:P59)</f>
        <v>-264000</v>
      </c>
      <c r="E59" s="110" t="n">
        <v>-22000</v>
      </c>
      <c r="F59" s="110" t="n">
        <v>-22000</v>
      </c>
      <c r="G59" s="110" t="n">
        <v>-22000</v>
      </c>
      <c r="H59" s="110" t="n">
        <v>-22000</v>
      </c>
      <c r="I59" s="110" t="n">
        <v>-22000</v>
      </c>
      <c r="J59" s="110" t="n">
        <v>-22000</v>
      </c>
      <c r="K59" s="110" t="n">
        <v>-22000</v>
      </c>
      <c r="L59" s="110" t="n">
        <v>-22000</v>
      </c>
      <c r="M59" s="110" t="n">
        <v>-22000</v>
      </c>
      <c r="N59" s="110" t="n">
        <v>-22000</v>
      </c>
      <c r="O59" s="110" t="n">
        <v>-22000</v>
      </c>
      <c r="P59" s="110" t="n">
        <v>-22000</v>
      </c>
    </row>
    <row r="60" customFormat="false" ht="15" hidden="false" customHeight="false" outlineLevel="0" collapsed="false">
      <c r="A60" s="28" t="s">
        <v>393</v>
      </c>
      <c r="B60" s="63" t="s">
        <v>2249</v>
      </c>
      <c r="C60" s="64" t="n">
        <f aca="false">SUM(E60:P60)</f>
        <v>-125029</v>
      </c>
      <c r="E60" s="110" t="n">
        <v>-9876</v>
      </c>
      <c r="F60" s="110" t="n">
        <v>-9970</v>
      </c>
      <c r="G60" s="110" t="n">
        <v>-10006</v>
      </c>
      <c r="H60" s="110" t="n">
        <v>-10268</v>
      </c>
      <c r="I60" s="110" t="n">
        <v>-10284</v>
      </c>
      <c r="J60" s="110" t="n">
        <v>-10315</v>
      </c>
      <c r="K60" s="110" t="n">
        <v>-10547</v>
      </c>
      <c r="L60" s="110" t="n">
        <v>-10522</v>
      </c>
      <c r="M60" s="110" t="n">
        <v>-10505</v>
      </c>
      <c r="N60" s="110" t="n">
        <v>-10786</v>
      </c>
      <c r="O60" s="110" t="n">
        <v>-10815</v>
      </c>
      <c r="P60" s="110" t="n">
        <v>-11135</v>
      </c>
    </row>
    <row r="61" customFormat="false" ht="15" hidden="false" customHeight="false" outlineLevel="0" collapsed="false">
      <c r="A61" s="28" t="s">
        <v>394</v>
      </c>
      <c r="B61" s="63" t="s">
        <v>2249</v>
      </c>
      <c r="C61" s="64" t="n">
        <f aca="false">SUM(E61:P61)</f>
        <v>-494784</v>
      </c>
      <c r="E61" s="110" t="n">
        <v>-41232</v>
      </c>
      <c r="F61" s="110" t="n">
        <v>-41232</v>
      </c>
      <c r="G61" s="110" t="n">
        <v>-41232</v>
      </c>
      <c r="H61" s="110" t="n">
        <v>-41232</v>
      </c>
      <c r="I61" s="110" t="n">
        <v>-41232</v>
      </c>
      <c r="J61" s="110" t="n">
        <v>-41232</v>
      </c>
      <c r="K61" s="110" t="n">
        <v>-41232</v>
      </c>
      <c r="L61" s="110" t="n">
        <v>-41232</v>
      </c>
      <c r="M61" s="110" t="n">
        <v>-41232</v>
      </c>
      <c r="N61" s="110" t="n">
        <v>-41232</v>
      </c>
      <c r="O61" s="110" t="n">
        <v>-41232</v>
      </c>
      <c r="P61" s="110" t="n">
        <v>-41232</v>
      </c>
    </row>
    <row r="62" customFormat="false" ht="15" hidden="false" customHeight="false" outlineLevel="0" collapsed="false">
      <c r="A62" s="28" t="s">
        <v>395</v>
      </c>
      <c r="B62" s="63" t="s">
        <v>2249</v>
      </c>
      <c r="C62" s="64" t="n">
        <f aca="false">SUM(E62:P62)</f>
        <v>-250650</v>
      </c>
      <c r="E62" s="110" t="n">
        <v>-18225</v>
      </c>
      <c r="F62" s="110" t="n">
        <v>-18900</v>
      </c>
      <c r="G62" s="110" t="n">
        <v>-19800</v>
      </c>
      <c r="H62" s="110" t="n">
        <v>-20475</v>
      </c>
      <c r="I62" s="110" t="n">
        <v>-21150</v>
      </c>
      <c r="J62" s="110" t="n">
        <v>-21375</v>
      </c>
      <c r="K62" s="110" t="n">
        <v>-21375</v>
      </c>
      <c r="L62" s="110" t="n">
        <v>-21375</v>
      </c>
      <c r="M62" s="110" t="n">
        <v>-21825</v>
      </c>
      <c r="N62" s="110" t="n">
        <v>-22050</v>
      </c>
      <c r="O62" s="110" t="n">
        <v>-22050</v>
      </c>
      <c r="P62" s="110" t="n">
        <v>-22050</v>
      </c>
    </row>
    <row r="63" customFormat="false" ht="15" hidden="false" customHeight="false" outlineLevel="0" collapsed="false">
      <c r="A63" s="28" t="s">
        <v>543</v>
      </c>
      <c r="B63" s="63" t="s">
        <v>2249</v>
      </c>
      <c r="C63" s="64" t="n">
        <f aca="false">SUM(E63:P63)</f>
        <v>-186000</v>
      </c>
      <c r="E63" s="110" t="n">
        <v>-15500</v>
      </c>
      <c r="F63" s="110" t="n">
        <v>-15500</v>
      </c>
      <c r="G63" s="110" t="n">
        <v>-15500</v>
      </c>
      <c r="H63" s="110" t="n">
        <v>-15500</v>
      </c>
      <c r="I63" s="110" t="n">
        <v>-15500</v>
      </c>
      <c r="J63" s="110" t="n">
        <v>-15500</v>
      </c>
      <c r="K63" s="110" t="n">
        <v>-15500</v>
      </c>
      <c r="L63" s="110" t="n">
        <v>-15500</v>
      </c>
      <c r="M63" s="110" t="n">
        <v>-15500</v>
      </c>
      <c r="N63" s="110" t="n">
        <v>-15500</v>
      </c>
      <c r="O63" s="110" t="n">
        <v>-15500</v>
      </c>
      <c r="P63" s="110" t="n">
        <v>-15500</v>
      </c>
    </row>
    <row r="64" customFormat="false" ht="15" hidden="false" customHeight="false" outlineLevel="0" collapsed="false">
      <c r="A64" s="28" t="s">
        <v>397</v>
      </c>
      <c r="B64" s="63" t="s">
        <v>2249</v>
      </c>
      <c r="C64" s="64" t="n">
        <f aca="false">SUM(E64:P64)</f>
        <v>-147000</v>
      </c>
      <c r="E64" s="110" t="n">
        <v>-11000</v>
      </c>
      <c r="F64" s="110" t="n">
        <v>-11000</v>
      </c>
      <c r="G64" s="110" t="n">
        <v>-26000</v>
      </c>
      <c r="H64" s="110" t="n">
        <v>-11000</v>
      </c>
      <c r="I64" s="110" t="n">
        <v>-11000</v>
      </c>
      <c r="J64" s="110" t="n">
        <v>-11000</v>
      </c>
      <c r="K64" s="110" t="n">
        <v>-11000</v>
      </c>
      <c r="L64" s="110" t="n">
        <v>-11000</v>
      </c>
      <c r="M64" s="110" t="n">
        <v>-11000</v>
      </c>
      <c r="N64" s="110" t="n">
        <v>-11000</v>
      </c>
      <c r="O64" s="110" t="n">
        <v>-11000</v>
      </c>
      <c r="P64" s="110" t="n">
        <v>-11000</v>
      </c>
    </row>
    <row r="65" customFormat="false" ht="15" hidden="false" customHeight="false" outlineLevel="0" collapsed="false">
      <c r="A65" s="28" t="s">
        <v>398</v>
      </c>
      <c r="B65" s="63" t="s">
        <v>2249</v>
      </c>
      <c r="C65" s="64" t="n">
        <f aca="false">SUM(E65:P65)</f>
        <v>-38400</v>
      </c>
      <c r="E65" s="110" t="n">
        <v>-3200</v>
      </c>
      <c r="F65" s="110" t="n">
        <v>-3200</v>
      </c>
      <c r="G65" s="110" t="n">
        <v>-3200</v>
      </c>
      <c r="H65" s="110" t="n">
        <v>-3200</v>
      </c>
      <c r="I65" s="110" t="n">
        <v>-3200</v>
      </c>
      <c r="J65" s="110" t="n">
        <v>-3200</v>
      </c>
      <c r="K65" s="110" t="n">
        <v>-3200</v>
      </c>
      <c r="L65" s="110" t="n">
        <v>-3200</v>
      </c>
      <c r="M65" s="110" t="n">
        <v>-3200</v>
      </c>
      <c r="N65" s="110" t="n">
        <v>-3200</v>
      </c>
      <c r="O65" s="110" t="n">
        <v>-3200</v>
      </c>
      <c r="P65" s="110" t="n">
        <v>-3200</v>
      </c>
    </row>
    <row r="66" customFormat="false" ht="15" hidden="false" customHeight="false" outlineLevel="0" collapsed="false">
      <c r="A66" s="28" t="s">
        <v>399</v>
      </c>
      <c r="B66" s="63" t="s">
        <v>2249</v>
      </c>
      <c r="C66" s="64" t="n">
        <f aca="false">SUM(E66:P66)</f>
        <v>-88200</v>
      </c>
      <c r="E66" s="110" t="n">
        <v>-5100</v>
      </c>
      <c r="F66" s="110" t="n">
        <v>-14100</v>
      </c>
      <c r="G66" s="110" t="n">
        <v>-18600</v>
      </c>
      <c r="H66" s="110" t="n">
        <v>-14100</v>
      </c>
      <c r="I66" s="110" t="n">
        <v>-14100</v>
      </c>
      <c r="J66" s="110" t="n">
        <v>-5100</v>
      </c>
      <c r="K66" s="110" t="n">
        <v>-600</v>
      </c>
      <c r="L66" s="110" t="n">
        <v>-600</v>
      </c>
      <c r="M66" s="110" t="n">
        <v>-9600</v>
      </c>
      <c r="N66" s="110" t="n">
        <v>-5100</v>
      </c>
      <c r="O66" s="110" t="n">
        <v>-600</v>
      </c>
      <c r="P66" s="110" t="n">
        <v>-600</v>
      </c>
    </row>
    <row r="67" customFormat="false" ht="15" hidden="false" customHeight="false" outlineLevel="0" collapsed="false">
      <c r="A67" s="28" t="s">
        <v>400</v>
      </c>
      <c r="B67" s="63" t="s">
        <v>2249</v>
      </c>
      <c r="C67" s="64" t="n">
        <f aca="false">SUM(E67:P67)</f>
        <v>-120000</v>
      </c>
      <c r="E67" s="110" t="n">
        <v>-10000</v>
      </c>
      <c r="F67" s="110" t="n">
        <v>-10000</v>
      </c>
      <c r="G67" s="110" t="n">
        <v>-10000</v>
      </c>
      <c r="H67" s="110" t="n">
        <v>-10000</v>
      </c>
      <c r="I67" s="110" t="n">
        <v>-10000</v>
      </c>
      <c r="J67" s="110" t="n">
        <v>-10000</v>
      </c>
      <c r="K67" s="110" t="n">
        <v>-10000</v>
      </c>
      <c r="L67" s="110" t="n">
        <v>-10000</v>
      </c>
      <c r="M67" s="110" t="n">
        <v>-10000</v>
      </c>
      <c r="N67" s="110" t="n">
        <v>-10000</v>
      </c>
      <c r="O67" s="110" t="n">
        <v>-10000</v>
      </c>
      <c r="P67" s="110" t="n">
        <v>-10000</v>
      </c>
    </row>
    <row r="68" customFormat="false" ht="15" hidden="false" customHeight="false" outlineLevel="0" collapsed="false">
      <c r="A68" s="28" t="s">
        <v>401</v>
      </c>
      <c r="B68" s="63" t="s">
        <v>2249</v>
      </c>
      <c r="C68" s="64" t="n">
        <f aca="false">SUM(E68:P68)</f>
        <v>-14381</v>
      </c>
      <c r="E68" s="110" t="n">
        <v>-2071</v>
      </c>
      <c r="F68" s="110" t="n">
        <v>-861</v>
      </c>
      <c r="G68" s="110" t="n">
        <v>-1866</v>
      </c>
      <c r="H68" s="110" t="n">
        <v>-886</v>
      </c>
      <c r="I68" s="110" t="n">
        <v>-1181</v>
      </c>
      <c r="J68" s="110" t="n">
        <v>-1311</v>
      </c>
      <c r="K68" s="110" t="n">
        <v>-944</v>
      </c>
      <c r="L68" s="110" t="n">
        <v>-495</v>
      </c>
      <c r="M68" s="110" t="n">
        <v>-1689</v>
      </c>
      <c r="N68" s="110" t="n">
        <v>-922</v>
      </c>
      <c r="O68" s="110" t="n">
        <v>-1602</v>
      </c>
      <c r="P68" s="110" t="n">
        <v>-553</v>
      </c>
    </row>
    <row r="69" customFormat="false" ht="15" hidden="false" customHeight="false" outlineLevel="0" collapsed="false">
      <c r="A69" s="28" t="s">
        <v>402</v>
      </c>
      <c r="B69" s="63" t="s">
        <v>2249</v>
      </c>
      <c r="C69" s="64" t="n">
        <f aca="false">SUM(E69:P69)</f>
        <v>0</v>
      </c>
      <c r="E69" s="110" t="n">
        <v>0</v>
      </c>
      <c r="F69" s="110" t="n">
        <v>0</v>
      </c>
      <c r="G69" s="110" t="n">
        <v>0</v>
      </c>
      <c r="H69" s="110" t="n">
        <v>0</v>
      </c>
      <c r="I69" s="110" t="n">
        <v>0</v>
      </c>
      <c r="J69" s="110" t="n">
        <v>0</v>
      </c>
      <c r="K69" s="110" t="n">
        <v>0</v>
      </c>
      <c r="L69" s="110" t="n">
        <v>0</v>
      </c>
      <c r="M69" s="110" t="n">
        <v>0</v>
      </c>
      <c r="N69" s="110" t="n">
        <v>0</v>
      </c>
      <c r="O69" s="110" t="n">
        <v>0</v>
      </c>
      <c r="P69" s="110" t="n">
        <v>0</v>
      </c>
    </row>
    <row r="70" customFormat="false" ht="15" hidden="false" customHeight="false" outlineLevel="0" collapsed="false">
      <c r="A70" s="59" t="s">
        <v>403</v>
      </c>
      <c r="B70" s="60"/>
      <c r="C70" s="61" t="n">
        <f aca="false">SUM(E70:P70)</f>
        <v>-5900149</v>
      </c>
      <c r="D70" s="153"/>
      <c r="E70" s="61" t="n">
        <f aca="false">SUM(E55:E69)</f>
        <v>-446562</v>
      </c>
      <c r="F70" s="61" t="n">
        <f aca="false">SUM(F55:F69)</f>
        <v>-466565</v>
      </c>
      <c r="G70" s="61" t="n">
        <f aca="false">SUM(G55:G69)</f>
        <v>-500601</v>
      </c>
      <c r="H70" s="61" t="n">
        <f aca="false">SUM(H55:H69)</f>
        <v>-490960</v>
      </c>
      <c r="I70" s="61" t="n">
        <f aca="false">SUM(I55:I69)</f>
        <v>-501245</v>
      </c>
      <c r="J70" s="61" t="n">
        <f aca="false">SUM(J55:J69)</f>
        <v>-495926</v>
      </c>
      <c r="K70" s="61" t="n">
        <f aca="false">SUM(K55:K69)</f>
        <v>-491291</v>
      </c>
      <c r="L70" s="61" t="n">
        <f aca="false">SUM(L55:L69)</f>
        <v>-490817</v>
      </c>
      <c r="M70" s="61" t="n">
        <f aca="false">SUM(M55:M69)</f>
        <v>-509694</v>
      </c>
      <c r="N70" s="61" t="n">
        <f aca="false">SUM(N55:N69)</f>
        <v>-504933</v>
      </c>
      <c r="O70" s="61" t="n">
        <f aca="false">SUM(O55:O69)</f>
        <v>-501142</v>
      </c>
      <c r="P70" s="61" t="n">
        <f aca="false">SUM(P55:P69)</f>
        <v>-500413</v>
      </c>
    </row>
    <row r="71" customFormat="false" ht="15" hidden="false" customHeight="false" outlineLevel="0" collapsed="false">
      <c r="A71" s="59" t="s">
        <v>350</v>
      </c>
      <c r="B71" s="60"/>
      <c r="C71" s="61" t="n">
        <f aca="false">SUM(E71:P71)</f>
        <v>-480512.88</v>
      </c>
      <c r="D71" s="153"/>
      <c r="E71" s="61" t="n">
        <f aca="false">E54+E70</f>
        <v>-63395.74</v>
      </c>
      <c r="F71" s="61" t="n">
        <f aca="false">F54+F70</f>
        <v>-70299.74</v>
      </c>
      <c r="G71" s="61" t="n">
        <f aca="false">G54+G70</f>
        <v>-86475.74</v>
      </c>
      <c r="H71" s="61" t="n">
        <f aca="false">H54+H70</f>
        <v>-69944.74</v>
      </c>
      <c r="I71" s="61" t="n">
        <f aca="false">I54+I70</f>
        <v>-73046.74</v>
      </c>
      <c r="J71" s="61" t="n">
        <f aca="false">J54+J70</f>
        <v>-47704.74</v>
      </c>
      <c r="K71" s="61" t="n">
        <f aca="false">K54+K70</f>
        <v>-35434.74</v>
      </c>
      <c r="L71" s="61" t="n">
        <f aca="false">L54+L70</f>
        <v>-28543.74</v>
      </c>
      <c r="M71" s="61" t="n">
        <f aca="false">M54+M70</f>
        <v>-26278.74</v>
      </c>
      <c r="N71" s="61" t="n">
        <f aca="false">N54+N70</f>
        <v>-12276.74</v>
      </c>
      <c r="O71" s="61" t="n">
        <f aca="false">O54+O70</f>
        <v>11684.26</v>
      </c>
      <c r="P71" s="61" t="n">
        <f aca="false">P54+P70</f>
        <v>21204.26</v>
      </c>
    </row>
    <row r="72" customFormat="false" ht="15" hidden="false" customHeight="false" outlineLevel="0" collapsed="false">
      <c r="A72" s="28" t="s">
        <v>405</v>
      </c>
      <c r="B72" s="63" t="s">
        <v>2249</v>
      </c>
      <c r="C72" s="64" t="n">
        <f aca="false">SUM(E72:P72)</f>
        <v>-498649</v>
      </c>
      <c r="E72" s="110" t="n">
        <v>-37156</v>
      </c>
      <c r="F72" s="110" t="n">
        <v>-37711</v>
      </c>
      <c r="G72" s="110" t="n">
        <v>-38408</v>
      </c>
      <c r="H72" s="110" t="n">
        <v>-39178</v>
      </c>
      <c r="I72" s="110" t="n">
        <v>-40001</v>
      </c>
      <c r="J72" s="110" t="n">
        <v>-40873</v>
      </c>
      <c r="K72" s="110" t="n">
        <v>-41839</v>
      </c>
      <c r="L72" s="110" t="n">
        <v>-42818</v>
      </c>
      <c r="M72" s="110" t="n">
        <v>-43729</v>
      </c>
      <c r="N72" s="110" t="n">
        <v>-44675</v>
      </c>
      <c r="O72" s="110" t="n">
        <v>-45617</v>
      </c>
      <c r="P72" s="110" t="n">
        <v>-46644</v>
      </c>
    </row>
    <row r="73" customFormat="false" ht="15" hidden="false" customHeight="false" outlineLevel="0" collapsed="false">
      <c r="A73" s="28" t="s">
        <v>406</v>
      </c>
      <c r="B73" s="63" t="s">
        <v>2249</v>
      </c>
      <c r="C73" s="64" t="n">
        <f aca="false">SUM(E73:P73)</f>
        <v>-75913</v>
      </c>
      <c r="E73" s="110" t="n">
        <v>-5300</v>
      </c>
      <c r="F73" s="110" t="n">
        <v>-5431</v>
      </c>
      <c r="G73" s="110" t="n">
        <v>-5667</v>
      </c>
      <c r="H73" s="110" t="n">
        <v>-5956</v>
      </c>
      <c r="I73" s="110" t="n">
        <v>-6192</v>
      </c>
      <c r="J73" s="110" t="n">
        <v>-6428</v>
      </c>
      <c r="K73" s="110" t="n">
        <v>-6558</v>
      </c>
      <c r="L73" s="110" t="n">
        <v>-6636</v>
      </c>
      <c r="M73" s="110" t="n">
        <v>-6714</v>
      </c>
      <c r="N73" s="110" t="n">
        <v>-6897</v>
      </c>
      <c r="O73" s="110" t="n">
        <v>-7028</v>
      </c>
      <c r="P73" s="110" t="n">
        <v>-7106</v>
      </c>
    </row>
    <row r="74" customFormat="false" ht="15" hidden="false" customHeight="false" outlineLevel="0" collapsed="false">
      <c r="A74" s="28" t="s">
        <v>408</v>
      </c>
      <c r="B74" s="63" t="s">
        <v>2249</v>
      </c>
      <c r="C74" s="64" t="n">
        <f aca="false">SUM(E74:P74)</f>
        <v>-205140</v>
      </c>
      <c r="E74" s="110" t="n">
        <v>-17500</v>
      </c>
      <c r="F74" s="110" t="n">
        <v>-17500</v>
      </c>
      <c r="G74" s="110" t="n">
        <v>-17500</v>
      </c>
      <c r="H74" s="110" t="n">
        <v>-17500</v>
      </c>
      <c r="I74" s="110" t="n">
        <v>-17500</v>
      </c>
      <c r="J74" s="110" t="n">
        <v>-17500</v>
      </c>
      <c r="K74" s="110" t="n">
        <v>-17500</v>
      </c>
      <c r="L74" s="110" t="n">
        <v>-17500</v>
      </c>
      <c r="M74" s="110" t="n">
        <v>-17014</v>
      </c>
      <c r="N74" s="110" t="n">
        <v>-16528</v>
      </c>
      <c r="O74" s="110" t="n">
        <v>-16042</v>
      </c>
      <c r="P74" s="110" t="n">
        <v>-15556</v>
      </c>
    </row>
    <row r="75" customFormat="false" ht="15" hidden="false" customHeight="false" outlineLevel="0" collapsed="false">
      <c r="A75" s="59" t="s">
        <v>409</v>
      </c>
      <c r="B75" s="60"/>
      <c r="C75" s="61" t="n">
        <f aca="false">SUM(E75:P75)</f>
        <v>-1260214.88</v>
      </c>
      <c r="D75" s="153"/>
      <c r="E75" s="61" t="n">
        <f aca="false">E71+E72+E73+E74</f>
        <v>-123351.74</v>
      </c>
      <c r="F75" s="61" t="n">
        <f aca="false">F71+F72+F73+F74</f>
        <v>-130941.74</v>
      </c>
      <c r="G75" s="61" t="n">
        <f aca="false">G71+G72+G73+G74</f>
        <v>-148050.74</v>
      </c>
      <c r="H75" s="61" t="n">
        <f aca="false">H71+H72+H73+H74</f>
        <v>-132578.74</v>
      </c>
      <c r="I75" s="61" t="n">
        <f aca="false">I71+I72+I73+I74</f>
        <v>-136739.74</v>
      </c>
      <c r="J75" s="61" t="n">
        <f aca="false">J71+J72+J73+J74</f>
        <v>-112505.74</v>
      </c>
      <c r="K75" s="61" t="n">
        <f aca="false">K71+K72+K73+K74</f>
        <v>-101331.74</v>
      </c>
      <c r="L75" s="61" t="n">
        <f aca="false">L71+L72+L73+L74</f>
        <v>-95497.74</v>
      </c>
      <c r="M75" s="61" t="n">
        <f aca="false">M71+M72+M73+M74</f>
        <v>-93735.74</v>
      </c>
      <c r="N75" s="61" t="n">
        <f aca="false">N71+N72+N73+N74</f>
        <v>-80376.74</v>
      </c>
      <c r="O75" s="61" t="n">
        <f aca="false">O71+O72+O73+O74</f>
        <v>-57002.74</v>
      </c>
      <c r="P75" s="61" t="n">
        <f aca="false">P71+P72+P73+P74</f>
        <v>-48101.74</v>
      </c>
    </row>
    <row r="76" customFormat="false" ht="15" hidden="false" customHeight="false" outlineLevel="0" collapsed="false">
      <c r="A76" s="28" t="s">
        <v>2256</v>
      </c>
      <c r="B76" s="63" t="s">
        <v>2249</v>
      </c>
      <c r="C76" s="64" t="n">
        <f aca="false">SUM(E76:P76)</f>
        <v>0</v>
      </c>
      <c r="E76" s="110" t="n">
        <v>0</v>
      </c>
      <c r="F76" s="110" t="n">
        <v>0</v>
      </c>
      <c r="G76" s="110" t="n">
        <v>0</v>
      </c>
      <c r="H76" s="110" t="n">
        <v>0</v>
      </c>
      <c r="I76" s="110" t="n">
        <v>0</v>
      </c>
      <c r="J76" s="110" t="n">
        <v>0</v>
      </c>
      <c r="K76" s="110" t="n">
        <v>0</v>
      </c>
      <c r="L76" s="110" t="n">
        <v>0</v>
      </c>
      <c r="M76" s="110" t="n">
        <v>0</v>
      </c>
      <c r="N76" s="110" t="n">
        <v>0</v>
      </c>
      <c r="O76" s="110" t="n">
        <v>0</v>
      </c>
      <c r="P76" s="110" t="n">
        <v>0</v>
      </c>
    </row>
    <row r="77" customFormat="false" ht="15" hidden="false" customHeight="false" outlineLevel="0" collapsed="false">
      <c r="A77" s="59" t="s">
        <v>411</v>
      </c>
      <c r="B77" s="60"/>
      <c r="C77" s="61" t="n">
        <f aca="false">SUM(E77:P77)</f>
        <v>-1260214.88</v>
      </c>
      <c r="D77" s="153"/>
      <c r="E77" s="61" t="n">
        <f aca="false">E75+E76</f>
        <v>-123351.74</v>
      </c>
      <c r="F77" s="61" t="n">
        <f aca="false">F75+F76</f>
        <v>-130941.74</v>
      </c>
      <c r="G77" s="61" t="n">
        <f aca="false">G75+G76</f>
        <v>-148050.74</v>
      </c>
      <c r="H77" s="61" t="n">
        <f aca="false">H75+H76</f>
        <v>-132578.74</v>
      </c>
      <c r="I77" s="61" t="n">
        <f aca="false">I75+I76</f>
        <v>-136739.74</v>
      </c>
      <c r="J77" s="61" t="n">
        <f aca="false">J75+J76</f>
        <v>-112505.74</v>
      </c>
      <c r="K77" s="61" t="n">
        <f aca="false">K75+K76</f>
        <v>-101331.74</v>
      </c>
      <c r="L77" s="61" t="n">
        <f aca="false">L75+L76</f>
        <v>-95497.74</v>
      </c>
      <c r="M77" s="61" t="n">
        <f aca="false">M75+M76</f>
        <v>-93735.74</v>
      </c>
      <c r="N77" s="61" t="n">
        <f aca="false">N75+N76</f>
        <v>-80376.74</v>
      </c>
      <c r="O77" s="61" t="n">
        <f aca="false">O75+O76</f>
        <v>-57002.74</v>
      </c>
      <c r="P77" s="61" t="n">
        <f aca="false">P75+P76</f>
        <v>-48101.74</v>
      </c>
    </row>
    <row r="78" customFormat="false" ht="15" hidden="false" customHeight="false" outlineLevel="0" collapsed="false">
      <c r="A78" s="22" t="s">
        <v>2257</v>
      </c>
      <c r="B78" s="23"/>
      <c r="C78" s="23"/>
      <c r="D78" s="23"/>
      <c r="E78" s="23"/>
      <c r="F78" s="23"/>
      <c r="G78" s="23"/>
      <c r="H78" s="23"/>
      <c r="I78" s="23"/>
      <c r="J78" s="23"/>
      <c r="K78" s="23"/>
      <c r="L78" s="23"/>
      <c r="M78" s="23"/>
      <c r="N78" s="23"/>
      <c r="O78" s="23"/>
      <c r="P78" s="23"/>
    </row>
    <row r="79" customFormat="false" ht="15" hidden="false" customHeight="false" outlineLevel="0" collapsed="false">
      <c r="A79" s="28" t="s">
        <v>362</v>
      </c>
      <c r="B79" s="63" t="s">
        <v>2258</v>
      </c>
      <c r="C79" s="64" t="n">
        <f aca="false">P79</f>
        <v>4042869</v>
      </c>
      <c r="E79" s="110" t="n">
        <v>5457753</v>
      </c>
      <c r="F79" s="110" t="n">
        <v>5292336</v>
      </c>
      <c r="G79" s="110" t="n">
        <v>5429653</v>
      </c>
      <c r="H79" s="110" t="n">
        <v>5243059</v>
      </c>
      <c r="I79" s="110" t="n">
        <v>5143582</v>
      </c>
      <c r="J79" s="110" t="n">
        <v>5096296</v>
      </c>
      <c r="K79" s="110" t="n">
        <v>4938493</v>
      </c>
      <c r="L79" s="110" t="n">
        <v>4577498</v>
      </c>
      <c r="M79" s="110" t="n">
        <v>4602210</v>
      </c>
      <c r="N79" s="110" t="n">
        <v>4374046</v>
      </c>
      <c r="O79" s="110" t="n">
        <v>4388752</v>
      </c>
      <c r="P79" s="110" t="n">
        <v>4042869</v>
      </c>
    </row>
    <row r="80" customFormat="false" ht="15" hidden="false" customHeight="false" outlineLevel="0" collapsed="false">
      <c r="A80" s="28" t="s">
        <v>546</v>
      </c>
      <c r="B80" s="63" t="s">
        <v>2258</v>
      </c>
      <c r="C80" s="64" t="n">
        <f aca="false">P80</f>
        <v>2086281</v>
      </c>
      <c r="E80" s="110" t="n">
        <v>1833488</v>
      </c>
      <c r="F80" s="110" t="n">
        <v>1817646</v>
      </c>
      <c r="G80" s="110" t="n">
        <v>2140865</v>
      </c>
      <c r="H80" s="110" t="n">
        <v>2107746</v>
      </c>
      <c r="I80" s="110" t="n">
        <v>2167183</v>
      </c>
      <c r="J80" s="110" t="n">
        <v>2269734</v>
      </c>
      <c r="K80" s="110" t="n">
        <v>2227375</v>
      </c>
      <c r="L80" s="110" t="n">
        <v>2028726</v>
      </c>
      <c r="M80" s="110" t="n">
        <v>2233794</v>
      </c>
      <c r="N80" s="110" t="n">
        <v>2158026</v>
      </c>
      <c r="O80" s="110" t="n">
        <v>2310994</v>
      </c>
      <c r="P80" s="110" t="n">
        <v>2086281</v>
      </c>
    </row>
    <row r="81" customFormat="false" ht="15" hidden="false" customHeight="false" outlineLevel="0" collapsed="false">
      <c r="A81" s="28" t="s">
        <v>367</v>
      </c>
      <c r="B81" s="63" t="s">
        <v>2259</v>
      </c>
      <c r="C81" s="68" t="n">
        <f aca="false">P81</f>
        <v>98</v>
      </c>
      <c r="E81" s="140" t="n">
        <v>81</v>
      </c>
      <c r="F81" s="140" t="n">
        <v>84</v>
      </c>
      <c r="G81" s="140" t="n">
        <v>88</v>
      </c>
      <c r="H81" s="140" t="n">
        <v>91</v>
      </c>
      <c r="I81" s="140" t="n">
        <v>94</v>
      </c>
      <c r="J81" s="140" t="n">
        <v>95</v>
      </c>
      <c r="K81" s="140" t="n">
        <v>95</v>
      </c>
      <c r="L81" s="140" t="n">
        <v>95</v>
      </c>
      <c r="M81" s="140" t="n">
        <v>97</v>
      </c>
      <c r="N81" s="140" t="n">
        <v>98</v>
      </c>
      <c r="O81" s="140" t="n">
        <v>98</v>
      </c>
      <c r="P81" s="140" t="n">
        <v>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2026-09-23T11:00:09Z</dcterms:created>
  <dc:creator>openpyxl</dc:creator>
  <dc:description/>
  <dc:language>en-US</dc:language>
  <cp:lastModifiedBy/>
  <dcterms:modified xsi:type="dcterms:W3CDTF">2026-09-23T14:00:15Z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